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5" yWindow="-60" windowWidth="15480" windowHeight="5820" tabRatio="941"/>
  </bookViews>
  <sheets>
    <sheet name="Total WQv Calculation" sheetId="28" r:id="rId1"/>
    <sheet name="WQv Calculation - Subtotal" sheetId="62" r:id="rId2"/>
    <sheet name="Catchment Summary Table" sheetId="64" r:id="rId3"/>
    <sheet name="Summary Table" sheetId="44" r:id="rId4"/>
    <sheet name="minimum RRv" sheetId="43" r:id="rId5"/>
    <sheet name="NOI QUESTIONS" sheetId="46" r:id="rId6"/>
    <sheet name="Planning" sheetId="19" r:id="rId7"/>
    <sheet name="Bioretention" sheetId="31" r:id="rId8"/>
    <sheet name="Infiltration Bioretention (2)" sheetId="60" state="hidden" r:id="rId9"/>
    <sheet name="Cistern-Rainbarrel" sheetId="33" r:id="rId10"/>
    <sheet name="Conservation of Natural Areas" sheetId="52" r:id="rId11"/>
    <sheet name="Disconnection of Rooftops" sheetId="56" r:id="rId12"/>
    <sheet name="Dry Swale" sheetId="34" r:id="rId13"/>
    <sheet name="Dry Well" sheetId="50" r:id="rId14"/>
    <sheet name="Filter Strips" sheetId="54" r:id="rId15"/>
    <sheet name="Green Roof (Ext)" sheetId="36" r:id="rId16"/>
    <sheet name="Green Roof (Intensive)" sheetId="47" r:id="rId17"/>
    <sheet name="#Infiltration Basin" sheetId="37" r:id="rId18"/>
    <sheet name="Infiltration Bioretention" sheetId="58" r:id="rId19"/>
    <sheet name="Infiltration Trench" sheetId="59" r:id="rId20"/>
    <sheet name="Porous Pavement" sheetId="38" r:id="rId21"/>
    <sheet name="Rain Garden" sheetId="40" r:id="rId22"/>
    <sheet name="Riparian Buffer" sheetId="53" r:id="rId23"/>
    <sheet name="Stormwater Planter" sheetId="39" r:id="rId24"/>
    <sheet name="Tree Planting-Tree Pits" sheetId="55" r:id="rId25"/>
    <sheet name="Vegetated Swale" sheetId="41" r:id="rId26"/>
    <sheet name="LOGIC" sheetId="57" state="hidden" r:id="rId27"/>
    <sheet name="Sheet1" sheetId="61" state="hidden" r:id="rId28"/>
    <sheet name="Errata" sheetId="65" r:id="rId29"/>
  </sheets>
  <definedNames>
    <definedName name="AreaNumber" localSheetId="2">'Catchment Summary Table'!$A$4:$A$13</definedName>
    <definedName name="AreaNumber" localSheetId="1">'WQv Calculation - Subtotal'!$A$3:$A$12</definedName>
    <definedName name="AreaNumber">'Total WQv Calculation'!$A$7:$A$16</definedName>
    <definedName name="CatchNo">LOGIC!$A$4:$A$33</definedName>
    <definedName name="Considered">LOGIC!$C$32:$C$34</definedName>
    <definedName name="Cpv" localSheetId="26">'NOI QUESTIONS'!$E$19</definedName>
    <definedName name="InfiltrationBasin">LOGIC!$C$37:$C$41</definedName>
    <definedName name="Practice">LOGIC!$C$13:$C$30</definedName>
    <definedName name="Practices">LOGIC!$C$13:$C$30</definedName>
    <definedName name="PracticesA">LOGIC!$C$1:$C$10</definedName>
    <definedName name="PracticesB">LOGIC!$E$1:$E$6</definedName>
    <definedName name="Reroute">LOGIC!$E$13:$E$15</definedName>
    <definedName name="Reroute2">LOGIC!$E$12:$E$15</definedName>
    <definedName name="Reroute3">LOGIC!$E$12:$E$16</definedName>
    <definedName name="RGPERC">LOGIC!$F$20:$F$21</definedName>
    <definedName name="Soil">LOGIC!$F$13:$F$16</definedName>
    <definedName name="Soils2">LOGIC!$F$25:$F$30</definedName>
    <definedName name="SoilType">LOGIC!$G$1:$G$4</definedName>
    <definedName name="Tree">LOGIC!$F$33:$F$34</definedName>
    <definedName name="Underdrain">LOGIC!$C$43</definedName>
    <definedName name="Underdrains">LOGIC!$C$43:$C$44</definedName>
    <definedName name="YesNo">LOGIC!$A$1:$A$2</definedName>
  </definedNames>
  <calcPr calcId="145621"/>
</workbook>
</file>

<file path=xl/calcChain.xml><?xml version="1.0" encoding="utf-8"?>
<calcChain xmlns="http://schemas.openxmlformats.org/spreadsheetml/2006/main">
  <c r="B152" i="41" l="1"/>
  <c r="B151" i="41"/>
  <c r="B150" i="41"/>
  <c r="B111" i="41"/>
  <c r="B110" i="41"/>
  <c r="F109" i="41" s="1"/>
  <c r="F110" i="41" s="1"/>
  <c r="F111" i="41" s="1"/>
  <c r="B109" i="41"/>
  <c r="B70" i="41"/>
  <c r="B69" i="41"/>
  <c r="B68" i="41"/>
  <c r="B29" i="41"/>
  <c r="B28" i="41"/>
  <c r="F27" i="41" s="1"/>
  <c r="B27" i="41"/>
  <c r="D121" i="37"/>
  <c r="F68" i="41" l="1"/>
  <c r="F69" i="41" s="1"/>
  <c r="F70" i="41" s="1"/>
  <c r="F150" i="41"/>
  <c r="F151" i="41" s="1"/>
  <c r="F152" i="41" s="1"/>
  <c r="E145" i="41"/>
  <c r="E143" i="41"/>
  <c r="E104" i="41"/>
  <c r="E102" i="41"/>
  <c r="E22" i="41"/>
  <c r="E20" i="41"/>
  <c r="E160" i="41"/>
  <c r="C154" i="41"/>
  <c r="E130" i="41"/>
  <c r="H127" i="41"/>
  <c r="F127" i="41"/>
  <c r="D162" i="41" s="1"/>
  <c r="E127" i="41"/>
  <c r="D127" i="41"/>
  <c r="C127" i="41"/>
  <c r="B127" i="41"/>
  <c r="B124" i="41"/>
  <c r="E119" i="41"/>
  <c r="E89" i="41"/>
  <c r="H86" i="41"/>
  <c r="F86" i="41"/>
  <c r="D121" i="41" s="1"/>
  <c r="E86" i="41"/>
  <c r="D86" i="41"/>
  <c r="C86" i="41"/>
  <c r="B86" i="41"/>
  <c r="B83" i="41"/>
  <c r="E78" i="41"/>
  <c r="E63" i="41"/>
  <c r="E61" i="41"/>
  <c r="E48" i="41"/>
  <c r="H45" i="41"/>
  <c r="F45" i="41"/>
  <c r="E45" i="41"/>
  <c r="D45" i="41"/>
  <c r="C45" i="41"/>
  <c r="B45" i="41"/>
  <c r="B42" i="41"/>
  <c r="D135" i="55"/>
  <c r="D134" i="55"/>
  <c r="D127" i="55"/>
  <c r="D129" i="55" s="1"/>
  <c r="D130" i="55" s="1"/>
  <c r="F125" i="55"/>
  <c r="E123" i="55"/>
  <c r="H122" i="55"/>
  <c r="F122" i="55"/>
  <c r="E122" i="55"/>
  <c r="D122" i="55"/>
  <c r="F130" i="55" s="1"/>
  <c r="C122" i="55"/>
  <c r="B122" i="55"/>
  <c r="D131" i="55" s="1"/>
  <c r="F131" i="55" s="1"/>
  <c r="B119" i="55"/>
  <c r="D96" i="55"/>
  <c r="D95" i="55"/>
  <c r="D88" i="55"/>
  <c r="D90" i="55" s="1"/>
  <c r="D91" i="55" s="1"/>
  <c r="F86" i="55"/>
  <c r="E84" i="55"/>
  <c r="H83" i="55"/>
  <c r="F83" i="55"/>
  <c r="E83" i="55"/>
  <c r="D83" i="55"/>
  <c r="F91" i="55" s="1"/>
  <c r="C83" i="55"/>
  <c r="B83" i="55"/>
  <c r="D92" i="55" s="1"/>
  <c r="F92" i="55" s="1"/>
  <c r="B80" i="55"/>
  <c r="D56" i="55"/>
  <c r="D55" i="55"/>
  <c r="D48" i="55"/>
  <c r="D50" i="55" s="1"/>
  <c r="D51" i="55" s="1"/>
  <c r="F46" i="55"/>
  <c r="E44" i="55"/>
  <c r="H43" i="55"/>
  <c r="F43" i="55"/>
  <c r="E43" i="55"/>
  <c r="D43" i="55"/>
  <c r="F51" i="55" s="1"/>
  <c r="C43" i="55"/>
  <c r="B43" i="55"/>
  <c r="D52" i="55" s="1"/>
  <c r="F52" i="55" s="1"/>
  <c r="B40" i="55"/>
  <c r="B10" i="39"/>
  <c r="B78" i="53"/>
  <c r="B53" i="53"/>
  <c r="B28" i="53"/>
  <c r="B1" i="53"/>
  <c r="B107" i="40"/>
  <c r="B73" i="40"/>
  <c r="B39" i="40"/>
  <c r="B5" i="40"/>
  <c r="B131" i="38"/>
  <c r="B89" i="38"/>
  <c r="B47" i="38"/>
  <c r="B7" i="38"/>
  <c r="B95" i="59"/>
  <c r="B64" i="59"/>
  <c r="B33" i="59"/>
  <c r="B1" i="59"/>
  <c r="B114" i="58"/>
  <c r="B77" i="58"/>
  <c r="B40" i="58"/>
  <c r="B6" i="58"/>
  <c r="B86" i="37"/>
  <c r="B56" i="37"/>
  <c r="B28" i="37"/>
  <c r="B1" i="37"/>
  <c r="B121" i="47"/>
  <c r="B81" i="47"/>
  <c r="B42" i="47"/>
  <c r="B3" i="47"/>
  <c r="B123" i="36"/>
  <c r="B84" i="36"/>
  <c r="B44" i="36"/>
  <c r="B3" i="36"/>
  <c r="B123" i="31"/>
  <c r="B85" i="31"/>
  <c r="B47" i="31"/>
  <c r="B9" i="31"/>
  <c r="B120" i="33"/>
  <c r="B82" i="33"/>
  <c r="B44" i="33"/>
  <c r="B1" i="33"/>
  <c r="B111" i="52"/>
  <c r="B74" i="52"/>
  <c r="B37" i="52"/>
  <c r="B1" i="52"/>
  <c r="B82" i="56"/>
  <c r="B55" i="56"/>
  <c r="B28" i="56"/>
  <c r="B1" i="56"/>
  <c r="B85" i="34"/>
  <c r="B57" i="34"/>
  <c r="B29" i="34"/>
  <c r="B1" i="34"/>
  <c r="B109" i="50"/>
  <c r="B73" i="50"/>
  <c r="B1" i="50"/>
  <c r="B37" i="50"/>
  <c r="B98" i="54"/>
  <c r="B64" i="54"/>
  <c r="B31" i="54"/>
  <c r="B1" i="54"/>
  <c r="D117" i="34"/>
  <c r="B106" i="34"/>
  <c r="B22" i="34"/>
  <c r="B50" i="34"/>
  <c r="B78" i="34"/>
  <c r="C101" i="34"/>
  <c r="B97" i="34"/>
  <c r="B98" i="34" s="1"/>
  <c r="C95" i="34"/>
  <c r="C94" i="34"/>
  <c r="H88" i="34"/>
  <c r="F88" i="34"/>
  <c r="E88" i="34"/>
  <c r="D88" i="34"/>
  <c r="C88" i="34"/>
  <c r="B88" i="34"/>
  <c r="G88" i="34" s="1"/>
  <c r="C73" i="34"/>
  <c r="B69" i="34"/>
  <c r="B70" i="34" s="1"/>
  <c r="C67" i="34"/>
  <c r="C66" i="34"/>
  <c r="H60" i="34"/>
  <c r="F60" i="34"/>
  <c r="E60" i="34"/>
  <c r="D60" i="34"/>
  <c r="C60" i="34"/>
  <c r="B60" i="34"/>
  <c r="G60" i="34" s="1"/>
  <c r="C45" i="34"/>
  <c r="B41" i="34"/>
  <c r="B42" i="34" s="1"/>
  <c r="C39" i="34"/>
  <c r="C38" i="34"/>
  <c r="H32" i="34"/>
  <c r="F32" i="34"/>
  <c r="E32" i="34"/>
  <c r="D32" i="34"/>
  <c r="C32" i="34"/>
  <c r="B32" i="34"/>
  <c r="G32" i="34" s="1"/>
  <c r="C157" i="31"/>
  <c r="C145" i="31"/>
  <c r="C148" i="31" s="1"/>
  <c r="C144" i="31"/>
  <c r="D132" i="31"/>
  <c r="E131" i="31"/>
  <c r="H126" i="31"/>
  <c r="F126" i="31"/>
  <c r="E126" i="31"/>
  <c r="D126" i="31"/>
  <c r="C126" i="31"/>
  <c r="B126" i="31"/>
  <c r="G126" i="31" s="1"/>
  <c r="C107" i="31"/>
  <c r="C110" i="31" s="1"/>
  <c r="C106" i="31"/>
  <c r="D94" i="31"/>
  <c r="E93" i="31"/>
  <c r="H88" i="31"/>
  <c r="F88" i="31"/>
  <c r="E88" i="31"/>
  <c r="D88" i="31"/>
  <c r="C88" i="31"/>
  <c r="B88" i="31"/>
  <c r="G88" i="31" s="1"/>
  <c r="C69" i="31"/>
  <c r="C72" i="31" s="1"/>
  <c r="C68" i="31"/>
  <c r="D56" i="31"/>
  <c r="E55" i="31"/>
  <c r="H50" i="31"/>
  <c r="F50" i="31"/>
  <c r="E50" i="31"/>
  <c r="D50" i="31"/>
  <c r="C50" i="31"/>
  <c r="B50" i="31"/>
  <c r="G50" i="31" s="1"/>
  <c r="E37" i="41"/>
  <c r="E7" i="41"/>
  <c r="H4" i="41"/>
  <c r="F4" i="41"/>
  <c r="E4" i="41"/>
  <c r="D4" i="41"/>
  <c r="C4" i="41"/>
  <c r="B4" i="41"/>
  <c r="A5" i="41" s="1"/>
  <c r="B1" i="41"/>
  <c r="B1" i="55"/>
  <c r="C145" i="39"/>
  <c r="H133" i="39"/>
  <c r="F133" i="39"/>
  <c r="B151" i="39" s="1"/>
  <c r="B152" i="39" s="1"/>
  <c r="E133" i="39"/>
  <c r="D133" i="39"/>
  <c r="C133" i="39"/>
  <c r="B133" i="39"/>
  <c r="G133" i="39" s="1"/>
  <c r="B130" i="39"/>
  <c r="C103" i="39"/>
  <c r="H91" i="39"/>
  <c r="F91" i="39"/>
  <c r="B109" i="39" s="1"/>
  <c r="B110" i="39" s="1"/>
  <c r="E91" i="39"/>
  <c r="D91" i="39"/>
  <c r="C91" i="39"/>
  <c r="B91" i="39"/>
  <c r="G91" i="39" s="1"/>
  <c r="B88" i="39"/>
  <c r="C61" i="39"/>
  <c r="H49" i="39"/>
  <c r="F49" i="39"/>
  <c r="B67" i="39" s="1"/>
  <c r="B68" i="39" s="1"/>
  <c r="E49" i="39"/>
  <c r="D49" i="39"/>
  <c r="C49" i="39"/>
  <c r="B49" i="39"/>
  <c r="G49" i="39" s="1"/>
  <c r="B46" i="39"/>
  <c r="H4" i="55"/>
  <c r="H13" i="39"/>
  <c r="H4" i="53"/>
  <c r="H31" i="53"/>
  <c r="H56" i="53"/>
  <c r="H81" i="53"/>
  <c r="H8" i="40"/>
  <c r="H42" i="40"/>
  <c r="H76" i="40"/>
  <c r="H110" i="40"/>
  <c r="H10" i="38"/>
  <c r="H50" i="38"/>
  <c r="H92" i="38"/>
  <c r="H134" i="38"/>
  <c r="H4" i="59"/>
  <c r="H36" i="59"/>
  <c r="H67" i="59"/>
  <c r="H98" i="59"/>
  <c r="H9" i="58"/>
  <c r="H43" i="58"/>
  <c r="H80" i="58"/>
  <c r="H117" i="58"/>
  <c r="H4" i="37"/>
  <c r="H31" i="37"/>
  <c r="H89" i="37"/>
  <c r="H59" i="37"/>
  <c r="H7" i="47"/>
  <c r="H46" i="47"/>
  <c r="H85" i="47"/>
  <c r="H125" i="47"/>
  <c r="H6" i="36"/>
  <c r="H47" i="36"/>
  <c r="H87" i="36"/>
  <c r="H126" i="36"/>
  <c r="H4" i="54"/>
  <c r="H34" i="54"/>
  <c r="H67" i="54"/>
  <c r="H101" i="54"/>
  <c r="H4" i="50"/>
  <c r="H40" i="50"/>
  <c r="H76" i="50"/>
  <c r="H112" i="50"/>
  <c r="H4" i="34"/>
  <c r="H4" i="52"/>
  <c r="H40" i="52"/>
  <c r="H77" i="52"/>
  <c r="H114" i="52"/>
  <c r="H123" i="33"/>
  <c r="H85" i="33"/>
  <c r="H47" i="33"/>
  <c r="H4" i="33"/>
  <c r="F4" i="55"/>
  <c r="E4" i="55"/>
  <c r="D4" i="55"/>
  <c r="C4" i="55"/>
  <c r="B4" i="55"/>
  <c r="F13" i="39"/>
  <c r="E13" i="39"/>
  <c r="D13" i="39"/>
  <c r="C13" i="39"/>
  <c r="J3" i="39" s="1"/>
  <c r="B13" i="39"/>
  <c r="J2" i="39" s="1"/>
  <c r="F81" i="53"/>
  <c r="E81" i="53"/>
  <c r="D81" i="53"/>
  <c r="C81" i="53"/>
  <c r="B81" i="53"/>
  <c r="F56" i="53"/>
  <c r="E56" i="53"/>
  <c r="D56" i="53"/>
  <c r="C56" i="53"/>
  <c r="B56" i="53"/>
  <c r="F31" i="53"/>
  <c r="E31" i="53"/>
  <c r="D31" i="53"/>
  <c r="C31" i="53"/>
  <c r="B31" i="53"/>
  <c r="F4" i="53"/>
  <c r="E4" i="53"/>
  <c r="D4" i="53"/>
  <c r="C4" i="53"/>
  <c r="B4" i="53"/>
  <c r="F110" i="40"/>
  <c r="E110" i="40"/>
  <c r="D110" i="40"/>
  <c r="C110" i="40"/>
  <c r="B110" i="40"/>
  <c r="F76" i="40"/>
  <c r="E76" i="40"/>
  <c r="D76" i="40"/>
  <c r="C76" i="40"/>
  <c r="B76" i="40"/>
  <c r="F42" i="40"/>
  <c r="E42" i="40"/>
  <c r="D42" i="40"/>
  <c r="C42" i="40"/>
  <c r="B42" i="40"/>
  <c r="F8" i="40"/>
  <c r="E8" i="40"/>
  <c r="D8" i="40"/>
  <c r="C8" i="40"/>
  <c r="B8" i="40"/>
  <c r="F134" i="38"/>
  <c r="E134" i="38"/>
  <c r="D134" i="38"/>
  <c r="C134" i="38"/>
  <c r="B134" i="38"/>
  <c r="F92" i="38"/>
  <c r="E92" i="38"/>
  <c r="D92" i="38"/>
  <c r="C92" i="38"/>
  <c r="B92" i="38"/>
  <c r="F50" i="38"/>
  <c r="E50" i="38"/>
  <c r="D50" i="38"/>
  <c r="C50" i="38"/>
  <c r="B50" i="38"/>
  <c r="F10" i="38"/>
  <c r="E10" i="38"/>
  <c r="D10" i="38"/>
  <c r="C10" i="38"/>
  <c r="B10" i="38"/>
  <c r="F98" i="59"/>
  <c r="E98" i="59"/>
  <c r="D98" i="59"/>
  <c r="C98" i="59"/>
  <c r="B98" i="59"/>
  <c r="F67" i="59"/>
  <c r="E67" i="59"/>
  <c r="D67" i="59"/>
  <c r="C67" i="59"/>
  <c r="B67" i="59"/>
  <c r="F36" i="59"/>
  <c r="E36" i="59"/>
  <c r="D36" i="59"/>
  <c r="C36" i="59"/>
  <c r="B36" i="59"/>
  <c r="F4" i="59"/>
  <c r="E4" i="59"/>
  <c r="D4" i="59"/>
  <c r="C4" i="59"/>
  <c r="B4" i="59"/>
  <c r="F117" i="58"/>
  <c r="E117" i="58"/>
  <c r="D117" i="58"/>
  <c r="C117" i="58"/>
  <c r="B117" i="58"/>
  <c r="F80" i="58"/>
  <c r="E80" i="58"/>
  <c r="D80" i="58"/>
  <c r="C80" i="58"/>
  <c r="B80" i="58"/>
  <c r="F43" i="58"/>
  <c r="E43" i="58"/>
  <c r="D43" i="58"/>
  <c r="C43" i="58"/>
  <c r="B43" i="58"/>
  <c r="F9" i="58"/>
  <c r="E9" i="58"/>
  <c r="D9" i="58"/>
  <c r="C9" i="58"/>
  <c r="B9" i="58"/>
  <c r="F89" i="37"/>
  <c r="E89" i="37"/>
  <c r="D89" i="37"/>
  <c r="C89" i="37"/>
  <c r="B89" i="37"/>
  <c r="F59" i="37"/>
  <c r="E59" i="37"/>
  <c r="D59" i="37"/>
  <c r="C59" i="37"/>
  <c r="B59" i="37"/>
  <c r="F31" i="37"/>
  <c r="E31" i="37"/>
  <c r="D31" i="37"/>
  <c r="C31" i="37"/>
  <c r="B31" i="37"/>
  <c r="F4" i="37"/>
  <c r="E4" i="37"/>
  <c r="D4" i="37"/>
  <c r="C4" i="37"/>
  <c r="B4" i="37"/>
  <c r="F125" i="47"/>
  <c r="E125" i="47"/>
  <c r="D125" i="47"/>
  <c r="C125" i="47"/>
  <c r="B125" i="47"/>
  <c r="F85" i="47"/>
  <c r="E85" i="47"/>
  <c r="D85" i="47"/>
  <c r="C85" i="47"/>
  <c r="B85" i="47"/>
  <c r="F46" i="47"/>
  <c r="E46" i="47"/>
  <c r="D46" i="47"/>
  <c r="C46" i="47"/>
  <c r="B46" i="47"/>
  <c r="F7" i="47"/>
  <c r="E7" i="47"/>
  <c r="D7" i="47"/>
  <c r="C7" i="47"/>
  <c r="B7" i="47"/>
  <c r="F126" i="36"/>
  <c r="E126" i="36"/>
  <c r="D126" i="36"/>
  <c r="C126" i="36"/>
  <c r="B126" i="36"/>
  <c r="F87" i="36"/>
  <c r="E87" i="36"/>
  <c r="D87" i="36"/>
  <c r="C87" i="36"/>
  <c r="B87" i="36"/>
  <c r="F47" i="36"/>
  <c r="E47" i="36"/>
  <c r="D47" i="36"/>
  <c r="C47" i="36"/>
  <c r="B47" i="36"/>
  <c r="F6" i="36"/>
  <c r="E6" i="36"/>
  <c r="D6" i="36"/>
  <c r="C6" i="36"/>
  <c r="B6" i="36"/>
  <c r="F101" i="54"/>
  <c r="E101" i="54"/>
  <c r="D101" i="54"/>
  <c r="C101" i="54"/>
  <c r="B101" i="54"/>
  <c r="F67" i="54"/>
  <c r="E67" i="54"/>
  <c r="D67" i="54"/>
  <c r="C67" i="54"/>
  <c r="B67" i="54"/>
  <c r="F34" i="54"/>
  <c r="E34" i="54"/>
  <c r="D34" i="54"/>
  <c r="C34" i="54"/>
  <c r="B34" i="54"/>
  <c r="F4" i="54"/>
  <c r="E4" i="54"/>
  <c r="D4" i="54"/>
  <c r="C4" i="54"/>
  <c r="B4" i="54"/>
  <c r="F112" i="50"/>
  <c r="E112" i="50"/>
  <c r="D112" i="50"/>
  <c r="C112" i="50"/>
  <c r="B112" i="50"/>
  <c r="F76" i="50"/>
  <c r="E76" i="50"/>
  <c r="D76" i="50"/>
  <c r="C76" i="50"/>
  <c r="B76" i="50"/>
  <c r="F40" i="50"/>
  <c r="E40" i="50"/>
  <c r="D40" i="50"/>
  <c r="C40" i="50"/>
  <c r="B40" i="50"/>
  <c r="F4" i="50"/>
  <c r="E4" i="50"/>
  <c r="D4" i="50"/>
  <c r="C4" i="50"/>
  <c r="B4" i="50"/>
  <c r="F4" i="34"/>
  <c r="E4" i="34"/>
  <c r="D4" i="34"/>
  <c r="C4" i="34"/>
  <c r="D115" i="34" s="1"/>
  <c r="E19" i="44" s="1"/>
  <c r="B4" i="34"/>
  <c r="F114" i="52"/>
  <c r="E114" i="52"/>
  <c r="D114" i="52"/>
  <c r="C114" i="52"/>
  <c r="B114" i="52"/>
  <c r="F77" i="52"/>
  <c r="E77" i="52"/>
  <c r="D77" i="52"/>
  <c r="C77" i="52"/>
  <c r="B77" i="52"/>
  <c r="F40" i="52"/>
  <c r="E40" i="52"/>
  <c r="D40" i="52"/>
  <c r="C40" i="52"/>
  <c r="B40" i="52"/>
  <c r="F4" i="52"/>
  <c r="E4" i="52"/>
  <c r="D4" i="52"/>
  <c r="C4" i="52"/>
  <c r="B4" i="52"/>
  <c r="F123" i="33"/>
  <c r="E123" i="33"/>
  <c r="D123" i="33"/>
  <c r="C123" i="33"/>
  <c r="B123" i="33"/>
  <c r="F85" i="33"/>
  <c r="E85" i="33"/>
  <c r="D85" i="33"/>
  <c r="C85" i="33"/>
  <c r="B85" i="33"/>
  <c r="F47" i="33"/>
  <c r="E47" i="33"/>
  <c r="D47" i="33"/>
  <c r="C47" i="33"/>
  <c r="B47" i="33"/>
  <c r="F4" i="33"/>
  <c r="E4" i="33"/>
  <c r="D4" i="33"/>
  <c r="C4" i="33"/>
  <c r="B4" i="33"/>
  <c r="N3" i="31"/>
  <c r="M3" i="31"/>
  <c r="L3" i="31"/>
  <c r="F12" i="31"/>
  <c r="E12" i="31"/>
  <c r="D12" i="31"/>
  <c r="C12" i="31"/>
  <c r="C155" i="31" s="1"/>
  <c r="B12" i="31"/>
  <c r="C154" i="31" s="1"/>
  <c r="H12" i="31"/>
  <c r="B15" i="64"/>
  <c r="C15" i="64"/>
  <c r="G15" i="64"/>
  <c r="B16" i="64"/>
  <c r="C16" i="64"/>
  <c r="G16" i="64"/>
  <c r="B17" i="64"/>
  <c r="C17" i="64"/>
  <c r="G17" i="64"/>
  <c r="B18" i="64"/>
  <c r="C18" i="64"/>
  <c r="G18" i="64"/>
  <c r="B19" i="64"/>
  <c r="C19" i="64"/>
  <c r="G19" i="64"/>
  <c r="B20" i="64"/>
  <c r="C20" i="64"/>
  <c r="G20" i="64"/>
  <c r="B21" i="64"/>
  <c r="C21" i="64"/>
  <c r="G21" i="64"/>
  <c r="B22" i="64"/>
  <c r="C22" i="64"/>
  <c r="G22" i="64"/>
  <c r="B23" i="64"/>
  <c r="C23" i="64"/>
  <c r="G23" i="64"/>
  <c r="B24" i="64"/>
  <c r="C24" i="64"/>
  <c r="G24" i="64"/>
  <c r="B25" i="64"/>
  <c r="C25" i="64"/>
  <c r="G25" i="64"/>
  <c r="B26" i="64"/>
  <c r="C26" i="64"/>
  <c r="G26" i="64"/>
  <c r="B27" i="64"/>
  <c r="C27" i="64"/>
  <c r="G27" i="64"/>
  <c r="B28" i="64"/>
  <c r="C28" i="64"/>
  <c r="G28" i="64"/>
  <c r="B29" i="64"/>
  <c r="C29" i="64"/>
  <c r="G29" i="64"/>
  <c r="B30" i="64"/>
  <c r="C30" i="64"/>
  <c r="G30" i="64"/>
  <c r="B31" i="64"/>
  <c r="C31" i="64"/>
  <c r="G31" i="64"/>
  <c r="B32" i="64"/>
  <c r="C32" i="64"/>
  <c r="G32" i="64"/>
  <c r="B33" i="64"/>
  <c r="C33" i="64"/>
  <c r="G33" i="64"/>
  <c r="C14" i="64"/>
  <c r="G14" i="64"/>
  <c r="B14" i="64"/>
  <c r="B5" i="64"/>
  <c r="C5" i="64"/>
  <c r="G5" i="64"/>
  <c r="B6" i="64"/>
  <c r="C6" i="64"/>
  <c r="G6" i="64"/>
  <c r="B7" i="64"/>
  <c r="C7" i="64"/>
  <c r="G7" i="64"/>
  <c r="B8" i="64"/>
  <c r="C8" i="64"/>
  <c r="G8" i="64"/>
  <c r="B9" i="64"/>
  <c r="C9" i="64"/>
  <c r="G9" i="64"/>
  <c r="B10" i="64"/>
  <c r="C10" i="64"/>
  <c r="G10" i="64"/>
  <c r="B11" i="64"/>
  <c r="C11" i="64"/>
  <c r="G11" i="64"/>
  <c r="B12" i="64"/>
  <c r="C12" i="64"/>
  <c r="G12" i="64"/>
  <c r="B13" i="64"/>
  <c r="C13" i="64"/>
  <c r="G13" i="64"/>
  <c r="C4" i="64"/>
  <c r="G4" i="64"/>
  <c r="B4" i="64"/>
  <c r="D3" i="28"/>
  <c r="C23" i="62"/>
  <c r="C17" i="28" s="1"/>
  <c r="C18" i="28" s="1"/>
  <c r="B10" i="43" s="1"/>
  <c r="B23" i="62"/>
  <c r="B17" i="28" s="1"/>
  <c r="B18" i="28" s="1"/>
  <c r="D80" i="41" l="1"/>
  <c r="D114" i="34"/>
  <c r="D146" i="50"/>
  <c r="E16" i="44" s="1"/>
  <c r="J3" i="58"/>
  <c r="D134" i="59"/>
  <c r="E14" i="44" s="1"/>
  <c r="J3" i="40"/>
  <c r="D119" i="37"/>
  <c r="E15" i="44" s="1"/>
  <c r="J3" i="41"/>
  <c r="D33" i="34"/>
  <c r="E33" i="34" s="1"/>
  <c r="D113" i="34"/>
  <c r="D127" i="31"/>
  <c r="E127" i="31" s="1"/>
  <c r="F127" i="31" s="1"/>
  <c r="J2" i="41"/>
  <c r="C113" i="41"/>
  <c r="C72" i="41"/>
  <c r="G127" i="41"/>
  <c r="A128" i="41"/>
  <c r="D163" i="41"/>
  <c r="G86" i="41"/>
  <c r="A87" i="41"/>
  <c r="D122" i="41"/>
  <c r="G45" i="41"/>
  <c r="A46" i="41"/>
  <c r="D81" i="41"/>
  <c r="F28" i="41"/>
  <c r="G122" i="55"/>
  <c r="G83" i="55"/>
  <c r="G43" i="55"/>
  <c r="C52" i="39"/>
  <c r="C62" i="39" s="1"/>
  <c r="C136" i="39"/>
  <c r="C146" i="39" s="1"/>
  <c r="D89" i="34"/>
  <c r="E89" i="34" s="1"/>
  <c r="F89" i="34" s="1"/>
  <c r="D61" i="34"/>
  <c r="E61" i="34" s="1"/>
  <c r="F61" i="34" s="1"/>
  <c r="B79" i="34" s="1"/>
  <c r="B80" i="34" s="1"/>
  <c r="D91" i="34"/>
  <c r="B102" i="34" s="1"/>
  <c r="B109" i="34" s="1"/>
  <c r="D63" i="34"/>
  <c r="B74" i="34" s="1"/>
  <c r="B81" i="34" s="1"/>
  <c r="F33" i="34"/>
  <c r="D89" i="31"/>
  <c r="E89" i="31" s="1"/>
  <c r="F89" i="31" s="1"/>
  <c r="C111" i="31" s="1"/>
  <c r="C149" i="31"/>
  <c r="C150" i="31" s="1"/>
  <c r="E135" i="31"/>
  <c r="E140" i="31" s="1"/>
  <c r="C152" i="31" s="1"/>
  <c r="D51" i="31"/>
  <c r="E51" i="31" s="1"/>
  <c r="F51" i="31" s="1"/>
  <c r="C73" i="31" s="1"/>
  <c r="D39" i="41"/>
  <c r="G4" i="41"/>
  <c r="C94" i="39"/>
  <c r="C57" i="39"/>
  <c r="G12" i="31"/>
  <c r="D13" i="62"/>
  <c r="D24" i="64" s="1"/>
  <c r="D14" i="62"/>
  <c r="D25" i="64" s="1"/>
  <c r="D15" i="62"/>
  <c r="D26" i="64" s="1"/>
  <c r="D16" i="62"/>
  <c r="D27" i="64" s="1"/>
  <c r="D17" i="62"/>
  <c r="D28" i="64" s="1"/>
  <c r="D18" i="62"/>
  <c r="D29" i="64" s="1"/>
  <c r="D19" i="62"/>
  <c r="D30" i="64" s="1"/>
  <c r="D20" i="62"/>
  <c r="D31" i="64" s="1"/>
  <c r="D21" i="62"/>
  <c r="D32" i="64" s="1"/>
  <c r="D22" i="62"/>
  <c r="D33" i="64" s="1"/>
  <c r="D12" i="62"/>
  <c r="D11" i="62"/>
  <c r="D10" i="62"/>
  <c r="D9" i="62"/>
  <c r="D8" i="62"/>
  <c r="D7" i="62"/>
  <c r="D6" i="62"/>
  <c r="D5" i="62"/>
  <c r="D4" i="62"/>
  <c r="D3" i="62"/>
  <c r="D16" i="28"/>
  <c r="D15" i="28"/>
  <c r="D12" i="64" s="1"/>
  <c r="D14" i="28"/>
  <c r="D11" i="64" s="1"/>
  <c r="D13" i="28"/>
  <c r="D10" i="64" s="1"/>
  <c r="D12" i="28"/>
  <c r="D9" i="64" s="1"/>
  <c r="D11" i="28"/>
  <c r="D8" i="64" s="1"/>
  <c r="D10" i="28"/>
  <c r="D7" i="64" s="1"/>
  <c r="D9" i="28"/>
  <c r="D6" i="64" s="1"/>
  <c r="D8" i="28"/>
  <c r="D5" i="64" s="1"/>
  <c r="D7" i="28"/>
  <c r="F117" i="59"/>
  <c r="D117" i="59"/>
  <c r="F86" i="59"/>
  <c r="D86" i="59"/>
  <c r="F55" i="59"/>
  <c r="D55" i="59"/>
  <c r="F23" i="59"/>
  <c r="D23" i="59"/>
  <c r="D37" i="44"/>
  <c r="E37" i="44"/>
  <c r="G37" i="44"/>
  <c r="F29" i="41" l="1"/>
  <c r="C31" i="41" s="1"/>
  <c r="E6" i="62"/>
  <c r="D17" i="64"/>
  <c r="E10" i="62"/>
  <c r="D21" i="64"/>
  <c r="D23" i="62"/>
  <c r="D14" i="64"/>
  <c r="E5" i="62"/>
  <c r="D16" i="64"/>
  <c r="E7" i="62"/>
  <c r="D18" i="64"/>
  <c r="E9" i="62"/>
  <c r="D20" i="64"/>
  <c r="E11" i="62"/>
  <c r="D22" i="64"/>
  <c r="E21" i="62"/>
  <c r="E19" i="62"/>
  <c r="E15" i="62"/>
  <c r="E13" i="62"/>
  <c r="E22" i="62"/>
  <c r="E20" i="62"/>
  <c r="E18" i="62"/>
  <c r="E16" i="62"/>
  <c r="E14" i="62"/>
  <c r="E4" i="62"/>
  <c r="D15" i="64"/>
  <c r="E8" i="62"/>
  <c r="D19" i="64"/>
  <c r="E12" i="62"/>
  <c r="D23" i="64"/>
  <c r="E17" i="62"/>
  <c r="D17" i="28"/>
  <c r="D18" i="28"/>
  <c r="E11" i="28"/>
  <c r="E8" i="64" s="1"/>
  <c r="E13" i="28"/>
  <c r="D40" i="41"/>
  <c r="J1" i="41"/>
  <c r="E15" i="28"/>
  <c r="A133" i="41"/>
  <c r="A92" i="41"/>
  <c r="A51" i="41"/>
  <c r="E16" i="28"/>
  <c r="F16" i="28" s="1"/>
  <c r="D13" i="64"/>
  <c r="F11" i="28"/>
  <c r="F8" i="64" s="1"/>
  <c r="E10" i="28"/>
  <c r="E12" i="28"/>
  <c r="E14" i="28"/>
  <c r="F14" i="28" s="1"/>
  <c r="C141" i="39"/>
  <c r="B107" i="34"/>
  <c r="B108" i="34" s="1"/>
  <c r="B99" i="34"/>
  <c r="B71" i="34"/>
  <c r="D35" i="34"/>
  <c r="B46" i="34" s="1"/>
  <c r="B53" i="34" s="1"/>
  <c r="B51" i="34"/>
  <c r="B52" i="34" s="1"/>
  <c r="E59" i="31"/>
  <c r="E64" i="31" s="1"/>
  <c r="C76" i="31" s="1"/>
  <c r="C151" i="31"/>
  <c r="C112" i="31"/>
  <c r="C113" i="31" s="1"/>
  <c r="E97" i="31"/>
  <c r="E102" i="31" s="1"/>
  <c r="C114" i="31" s="1"/>
  <c r="C74" i="31"/>
  <c r="C75" i="31" s="1"/>
  <c r="A10" i="41"/>
  <c r="C104" i="39"/>
  <c r="C99" i="39"/>
  <c r="E9" i="28"/>
  <c r="D4" i="64"/>
  <c r="E8" i="28"/>
  <c r="E3" i="62"/>
  <c r="E7" i="28"/>
  <c r="E17" i="28" s="1"/>
  <c r="H103" i="56"/>
  <c r="D103" i="56"/>
  <c r="D102" i="56"/>
  <c r="E100" i="56"/>
  <c r="F93" i="56"/>
  <c r="F90" i="56"/>
  <c r="E87" i="56"/>
  <c r="H76" i="56"/>
  <c r="D76" i="56"/>
  <c r="D75" i="56"/>
  <c r="E73" i="56"/>
  <c r="F66" i="56"/>
  <c r="F63" i="56"/>
  <c r="E60" i="56"/>
  <c r="H49" i="56"/>
  <c r="D49" i="56"/>
  <c r="D48" i="56"/>
  <c r="E46" i="56"/>
  <c r="F39" i="56"/>
  <c r="F36" i="56"/>
  <c r="E33" i="56"/>
  <c r="D22" i="56"/>
  <c r="H22" i="56"/>
  <c r="E19" i="56"/>
  <c r="E10" i="64" l="1"/>
  <c r="F13" i="28"/>
  <c r="E12" i="64"/>
  <c r="F15" i="28"/>
  <c r="F12" i="64" s="1"/>
  <c r="E23" i="62"/>
  <c r="F3" i="62"/>
  <c r="E14" i="64"/>
  <c r="E25" i="64"/>
  <c r="F14" i="62"/>
  <c r="F25" i="64" s="1"/>
  <c r="E29" i="64"/>
  <c r="F18" i="62"/>
  <c r="F29" i="64" s="1"/>
  <c r="F22" i="62"/>
  <c r="F33" i="64" s="1"/>
  <c r="E33" i="64"/>
  <c r="E26" i="64"/>
  <c r="F15" i="62"/>
  <c r="F26" i="64" s="1"/>
  <c r="E32" i="64"/>
  <c r="F21" i="62"/>
  <c r="F32" i="64" s="1"/>
  <c r="E22" i="64"/>
  <c r="F11" i="62"/>
  <c r="F22" i="64" s="1"/>
  <c r="E20" i="64"/>
  <c r="F9" i="62"/>
  <c r="F20" i="64" s="1"/>
  <c r="E18" i="64"/>
  <c r="F7" i="62"/>
  <c r="F18" i="64" s="1"/>
  <c r="E16" i="64"/>
  <c r="F5" i="62"/>
  <c r="F16" i="64" s="1"/>
  <c r="F10" i="62"/>
  <c r="F21" i="64" s="1"/>
  <c r="E21" i="64"/>
  <c r="F6" i="62"/>
  <c r="F17" i="64" s="1"/>
  <c r="E17" i="64"/>
  <c r="E28" i="64"/>
  <c r="F17" i="62"/>
  <c r="F28" i="64" s="1"/>
  <c r="F12" i="62"/>
  <c r="F23" i="64" s="1"/>
  <c r="E23" i="64"/>
  <c r="E19" i="64"/>
  <c r="F8" i="62"/>
  <c r="F19" i="64" s="1"/>
  <c r="E15" i="64"/>
  <c r="F4" i="62"/>
  <c r="F15" i="64" s="1"/>
  <c r="F16" i="62"/>
  <c r="F27" i="64" s="1"/>
  <c r="E27" i="64"/>
  <c r="E31" i="64"/>
  <c r="F20" i="62"/>
  <c r="F31" i="64" s="1"/>
  <c r="E24" i="64"/>
  <c r="F13" i="62"/>
  <c r="F24" i="64" s="1"/>
  <c r="E30" i="64"/>
  <c r="F19" i="62"/>
  <c r="F30" i="64" s="1"/>
  <c r="B133" i="41"/>
  <c r="C133" i="41"/>
  <c r="B139" i="41"/>
  <c r="B92" i="41"/>
  <c r="C92" i="41"/>
  <c r="B98" i="41"/>
  <c r="B51" i="41"/>
  <c r="C51" i="41"/>
  <c r="B57" i="41"/>
  <c r="E9" i="64"/>
  <c r="F12" i="28"/>
  <c r="F9" i="64" s="1"/>
  <c r="E11" i="64"/>
  <c r="F11" i="64"/>
  <c r="F10" i="64"/>
  <c r="E7" i="64"/>
  <c r="F10" i="28"/>
  <c r="F7" i="64" s="1"/>
  <c r="F13" i="64"/>
  <c r="E13" i="64"/>
  <c r="B43" i="34"/>
  <c r="C10" i="41"/>
  <c r="B10" i="41"/>
  <c r="B16" i="41"/>
  <c r="E6" i="64"/>
  <c r="F9" i="28"/>
  <c r="F6" i="64" s="1"/>
  <c r="F7" i="28"/>
  <c r="E4" i="64"/>
  <c r="E5" i="64"/>
  <c r="F8" i="28"/>
  <c r="F5" i="64" s="1"/>
  <c r="E6" i="56"/>
  <c r="F23" i="62" l="1"/>
  <c r="H23" i="62" s="1"/>
  <c r="F14" i="64"/>
  <c r="F4" i="64"/>
  <c r="D10" i="41"/>
  <c r="F10" i="41" s="1"/>
  <c r="B11" i="41" s="1"/>
  <c r="B12" i="41" s="1"/>
  <c r="B13" i="41" s="1"/>
  <c r="D133" i="41"/>
  <c r="F133" i="41" s="1"/>
  <c r="B134" i="41" s="1"/>
  <c r="B135" i="41" s="1"/>
  <c r="B136" i="41" s="1"/>
  <c r="D92" i="41"/>
  <c r="F92" i="41" s="1"/>
  <c r="B93" i="41" s="1"/>
  <c r="B94" i="41" s="1"/>
  <c r="B95" i="41" s="1"/>
  <c r="D51" i="41"/>
  <c r="F51" i="41" s="1"/>
  <c r="B52" i="41" s="1"/>
  <c r="B53" i="41" s="1"/>
  <c r="B54" i="41" s="1"/>
  <c r="F129" i="58"/>
  <c r="E99" i="47"/>
  <c r="F17" i="28" l="1"/>
  <c r="F18" i="28" s="1"/>
  <c r="F4" i="46" s="1"/>
  <c r="N3" i="40"/>
  <c r="M3" i="40"/>
  <c r="L3" i="40"/>
  <c r="K3" i="40"/>
  <c r="D130" i="40"/>
  <c r="D114" i="40"/>
  <c r="D96" i="40"/>
  <c r="D80" i="40"/>
  <c r="E81" i="40"/>
  <c r="D62" i="40"/>
  <c r="D46" i="40"/>
  <c r="D28" i="40"/>
  <c r="E13" i="40"/>
  <c r="D12" i="40"/>
  <c r="G13" i="39" l="1"/>
  <c r="G134" i="38"/>
  <c r="G92" i="38"/>
  <c r="G50" i="38"/>
  <c r="G10" i="38"/>
  <c r="N3" i="58"/>
  <c r="M3" i="58"/>
  <c r="L3" i="58"/>
  <c r="K3" i="58"/>
  <c r="G9" i="58"/>
  <c r="D148" i="50"/>
  <c r="J6" i="40"/>
  <c r="D136" i="59"/>
  <c r="J5" i="58"/>
  <c r="D34" i="28" l="1"/>
  <c r="D132" i="50"/>
  <c r="F117" i="50"/>
  <c r="G112" i="50"/>
  <c r="D96" i="50"/>
  <c r="F81" i="50"/>
  <c r="G76" i="50"/>
  <c r="D60" i="50"/>
  <c r="F45" i="50"/>
  <c r="G40" i="50"/>
  <c r="D119" i="40"/>
  <c r="D126" i="40" s="1"/>
  <c r="E115" i="40"/>
  <c r="G110" i="40"/>
  <c r="D85" i="40"/>
  <c r="D92" i="40" s="1"/>
  <c r="G76" i="40"/>
  <c r="D51" i="40"/>
  <c r="D58" i="40" s="1"/>
  <c r="E47" i="40"/>
  <c r="G42" i="40"/>
  <c r="D118" i="59"/>
  <c r="D104" i="59"/>
  <c r="F103" i="59"/>
  <c r="D105" i="59"/>
  <c r="F106" i="59" s="1"/>
  <c r="G98" i="59"/>
  <c r="D87" i="59"/>
  <c r="D73" i="59"/>
  <c r="F72" i="59"/>
  <c r="D74" i="59"/>
  <c r="F75" i="59" s="1"/>
  <c r="G67" i="59"/>
  <c r="D56" i="59"/>
  <c r="D42" i="59"/>
  <c r="D43" i="59" s="1"/>
  <c r="F44" i="59" s="1"/>
  <c r="F41" i="59"/>
  <c r="G36" i="59"/>
  <c r="D131" i="58"/>
  <c r="G117" i="58"/>
  <c r="D94" i="58"/>
  <c r="F92" i="58"/>
  <c r="G80" i="58"/>
  <c r="D57" i="58"/>
  <c r="F55" i="58"/>
  <c r="G43" i="58"/>
  <c r="E17" i="31"/>
  <c r="D18" i="31"/>
  <c r="B104" i="37"/>
  <c r="B101" i="37"/>
  <c r="D102" i="37" s="1"/>
  <c r="F94" i="37"/>
  <c r="G89" i="37"/>
  <c r="B74" i="37"/>
  <c r="B71" i="37"/>
  <c r="D72" i="37" s="1"/>
  <c r="F64" i="37"/>
  <c r="G59" i="37"/>
  <c r="B46" i="37"/>
  <c r="B43" i="37"/>
  <c r="D44" i="37" s="1"/>
  <c r="F36" i="37"/>
  <c r="G31" i="37"/>
  <c r="A78" i="50" l="1"/>
  <c r="A34" i="37"/>
  <c r="A42" i="50"/>
  <c r="A114" i="50"/>
  <c r="D60" i="37"/>
  <c r="E60" i="37" s="1"/>
  <c r="F60" i="37" s="1"/>
  <c r="B70" i="37" s="1"/>
  <c r="D90" i="37"/>
  <c r="E90" i="37" s="1"/>
  <c r="F90" i="37" s="1"/>
  <c r="D96" i="37" s="1"/>
  <c r="F97" i="37" s="1"/>
  <c r="D44" i="58"/>
  <c r="E44" i="58" s="1"/>
  <c r="F44" i="58" s="1"/>
  <c r="D118" i="58"/>
  <c r="E118" i="58" s="1"/>
  <c r="F118" i="58" s="1"/>
  <c r="D113" i="50"/>
  <c r="E113" i="50" s="1"/>
  <c r="F113" i="50" s="1"/>
  <c r="B134" i="50" s="1"/>
  <c r="B135" i="50" s="1"/>
  <c r="D77" i="50"/>
  <c r="E77" i="50" s="1"/>
  <c r="F77" i="50" s="1"/>
  <c r="B98" i="50" s="1"/>
  <c r="B99" i="50" s="1"/>
  <c r="D41" i="50"/>
  <c r="E41" i="50" s="1"/>
  <c r="F41" i="50" s="1"/>
  <c r="B62" i="50" s="1"/>
  <c r="B63" i="50" s="1"/>
  <c r="D91" i="40"/>
  <c r="D125" i="40"/>
  <c r="D57" i="40"/>
  <c r="D77" i="40"/>
  <c r="E77" i="40" s="1"/>
  <c r="F77" i="40" s="1"/>
  <c r="D93" i="40"/>
  <c r="D43" i="40"/>
  <c r="E43" i="40" s="1"/>
  <c r="F43" i="40" s="1"/>
  <c r="D59" i="40"/>
  <c r="D111" i="40"/>
  <c r="E111" i="40" s="1"/>
  <c r="F111" i="40" s="1"/>
  <c r="D127" i="40"/>
  <c r="D128" i="40"/>
  <c r="D94" i="40"/>
  <c r="D60" i="40"/>
  <c r="D37" i="59"/>
  <c r="E37" i="59" s="1"/>
  <c r="F37" i="59" s="1"/>
  <c r="C58" i="59" s="1"/>
  <c r="D68" i="59"/>
  <c r="E68" i="59" s="1"/>
  <c r="F68" i="59" s="1"/>
  <c r="C89" i="59" s="1"/>
  <c r="D99" i="59"/>
  <c r="E99" i="59" s="1"/>
  <c r="F99" i="59" s="1"/>
  <c r="C120" i="59" s="1"/>
  <c r="A100" i="59"/>
  <c r="A69" i="59"/>
  <c r="A38" i="59"/>
  <c r="D81" i="58"/>
  <c r="E81" i="58" s="1"/>
  <c r="F81" i="58" s="1"/>
  <c r="A92" i="37"/>
  <c r="A62" i="37"/>
  <c r="D32" i="37"/>
  <c r="E32" i="37" s="1"/>
  <c r="F32" i="37" s="1"/>
  <c r="D98" i="40" l="1"/>
  <c r="B100" i="37"/>
  <c r="D132" i="40"/>
  <c r="D64" i="40"/>
  <c r="B106" i="37"/>
  <c r="B107" i="37" s="1"/>
  <c r="B108" i="37"/>
  <c r="D48" i="59"/>
  <c r="D52" i="59" s="1"/>
  <c r="D66" i="37"/>
  <c r="F67" i="37" s="1"/>
  <c r="B76" i="37"/>
  <c r="B77" i="37" s="1"/>
  <c r="B78" i="37"/>
  <c r="D59" i="58"/>
  <c r="D121" i="58"/>
  <c r="D133" i="58"/>
  <c r="D96" i="58"/>
  <c r="D131" i="40"/>
  <c r="D63" i="40"/>
  <c r="D79" i="59"/>
  <c r="D83" i="59" s="1"/>
  <c r="C90" i="59"/>
  <c r="D47" i="58"/>
  <c r="D84" i="58"/>
  <c r="D124" i="50"/>
  <c r="D128" i="50" s="1"/>
  <c r="D130" i="50" s="1"/>
  <c r="D119" i="50"/>
  <c r="F120" i="50" s="1"/>
  <c r="D88" i="50"/>
  <c r="D92" i="50" s="1"/>
  <c r="D94" i="50" s="1"/>
  <c r="D83" i="50"/>
  <c r="F84" i="50" s="1"/>
  <c r="D52" i="50"/>
  <c r="D56" i="50" s="1"/>
  <c r="D58" i="50" s="1"/>
  <c r="D47" i="50"/>
  <c r="F48" i="50" s="1"/>
  <c r="D97" i="40"/>
  <c r="C59" i="59"/>
  <c r="D110" i="59"/>
  <c r="D114" i="59" s="1"/>
  <c r="C121" i="59"/>
  <c r="B42" i="37"/>
  <c r="D38" i="37"/>
  <c r="F39" i="37" s="1"/>
  <c r="B50" i="37"/>
  <c r="B48" i="37"/>
  <c r="B49" i="37" s="1"/>
  <c r="D90" i="58" l="1"/>
  <c r="F91" i="58" s="1"/>
  <c r="D97" i="58"/>
  <c r="D53" i="58"/>
  <c r="F54" i="58" s="1"/>
  <c r="D60" i="58"/>
  <c r="D127" i="58"/>
  <c r="D134" i="58"/>
  <c r="D61" i="58" l="1"/>
  <c r="D98" i="58"/>
  <c r="F128" i="58"/>
  <c r="D135" i="58"/>
  <c r="D10" i="59" l="1"/>
  <c r="F12" i="56"/>
  <c r="B19" i="37"/>
  <c r="D130" i="33"/>
  <c r="D92" i="33"/>
  <c r="D54" i="33"/>
  <c r="D10" i="33"/>
  <c r="C17" i="34"/>
  <c r="C11" i="34"/>
  <c r="C10" i="34"/>
  <c r="F9" i="50" l="1"/>
  <c r="F9" i="59"/>
  <c r="F9" i="37"/>
  <c r="F21" i="58"/>
  <c r="E5" i="55"/>
  <c r="F19" i="46"/>
  <c r="D10" i="44"/>
  <c r="D17" i="40" l="1"/>
  <c r="B8" i="19" l="1"/>
  <c r="D143" i="38" l="1"/>
  <c r="D138" i="38"/>
  <c r="D141" i="38" s="1"/>
  <c r="D101" i="38"/>
  <c r="D96" i="38"/>
  <c r="D99" i="38" s="1"/>
  <c r="D59" i="38"/>
  <c r="D54" i="38"/>
  <c r="D57" i="38" s="1"/>
  <c r="D19" i="38"/>
  <c r="D143" i="60"/>
  <c r="F142" i="60"/>
  <c r="H131" i="60"/>
  <c r="G131" i="60"/>
  <c r="F131" i="60"/>
  <c r="E131" i="60"/>
  <c r="D131" i="60"/>
  <c r="C131" i="60"/>
  <c r="B131" i="60"/>
  <c r="D98" i="60"/>
  <c r="F97" i="60"/>
  <c r="H86" i="60"/>
  <c r="G86" i="60"/>
  <c r="F86" i="60"/>
  <c r="E86" i="60"/>
  <c r="D86" i="60"/>
  <c r="C86" i="60"/>
  <c r="B86" i="60"/>
  <c r="D55" i="60"/>
  <c r="F54" i="60"/>
  <c r="H43" i="60"/>
  <c r="G43" i="60"/>
  <c r="F43" i="60"/>
  <c r="D57" i="60" s="1"/>
  <c r="D58" i="60" s="1"/>
  <c r="E43" i="60"/>
  <c r="D43" i="60"/>
  <c r="C43" i="60"/>
  <c r="B43" i="60"/>
  <c r="D20" i="60"/>
  <c r="D23" i="58"/>
  <c r="E10" i="44"/>
  <c r="A125" i="54"/>
  <c r="D124" i="54"/>
  <c r="D123" i="54"/>
  <c r="D118" i="54"/>
  <c r="F105" i="54"/>
  <c r="G101" i="54"/>
  <c r="A91" i="54"/>
  <c r="D90" i="54"/>
  <c r="D89" i="54"/>
  <c r="D84" i="54"/>
  <c r="F71" i="54"/>
  <c r="G67" i="54"/>
  <c r="A58" i="54"/>
  <c r="D57" i="54"/>
  <c r="D56" i="54"/>
  <c r="D51" i="54"/>
  <c r="F38" i="54"/>
  <c r="G34" i="54"/>
  <c r="D101" i="53"/>
  <c r="D100" i="53"/>
  <c r="D95" i="53"/>
  <c r="F95" i="53" s="1"/>
  <c r="F87" i="53"/>
  <c r="F85" i="53"/>
  <c r="F84" i="53"/>
  <c r="F83" i="53"/>
  <c r="G81" i="53"/>
  <c r="D76" i="53"/>
  <c r="D75" i="53"/>
  <c r="D70" i="53"/>
  <c r="F70" i="53" s="1"/>
  <c r="F62" i="53"/>
  <c r="F60" i="53"/>
  <c r="F59" i="53"/>
  <c r="F58" i="53"/>
  <c r="G56" i="53"/>
  <c r="D51" i="53"/>
  <c r="D50" i="53"/>
  <c r="D45" i="53"/>
  <c r="F45" i="53" s="1"/>
  <c r="F37" i="53"/>
  <c r="F35" i="53"/>
  <c r="F34" i="53"/>
  <c r="F33" i="53"/>
  <c r="G31" i="53"/>
  <c r="H125" i="52"/>
  <c r="H123" i="52"/>
  <c r="H119" i="52"/>
  <c r="C131" i="52"/>
  <c r="H88" i="52"/>
  <c r="H86" i="52"/>
  <c r="H82" i="52"/>
  <c r="C94" i="52"/>
  <c r="H51" i="52"/>
  <c r="H49" i="52"/>
  <c r="H45" i="52"/>
  <c r="C57" i="52"/>
  <c r="E139" i="47"/>
  <c r="E138" i="47"/>
  <c r="E137" i="47"/>
  <c r="G125" i="47"/>
  <c r="E98" i="47"/>
  <c r="E97" i="47"/>
  <c r="G85" i="47"/>
  <c r="E60" i="47"/>
  <c r="E59" i="47"/>
  <c r="E58" i="47"/>
  <c r="G46" i="47"/>
  <c r="E21" i="47"/>
  <c r="E20" i="47"/>
  <c r="E19" i="47"/>
  <c r="G7" i="47"/>
  <c r="D21" i="56"/>
  <c r="F9" i="56"/>
  <c r="D17" i="55"/>
  <c r="D9" i="55"/>
  <c r="F7" i="55"/>
  <c r="F12" i="55"/>
  <c r="G4" i="55"/>
  <c r="A30" i="54"/>
  <c r="D26" i="54"/>
  <c r="D133" i="54" s="1"/>
  <c r="D25" i="28" s="1"/>
  <c r="D25" i="54"/>
  <c r="D20" i="54"/>
  <c r="F7" i="54"/>
  <c r="G4" i="54"/>
  <c r="D24" i="53"/>
  <c r="D23" i="53"/>
  <c r="D18" i="53"/>
  <c r="F18" i="53" s="1"/>
  <c r="F10" i="53"/>
  <c r="F8" i="53"/>
  <c r="F7" i="53"/>
  <c r="F6" i="53"/>
  <c r="J3" i="53"/>
  <c r="G4" i="53"/>
  <c r="D16" i="55" l="1"/>
  <c r="J1" i="55" s="1"/>
  <c r="C26" i="28" s="1"/>
  <c r="J2" i="55"/>
  <c r="D26" i="28" s="1"/>
  <c r="J2" i="53"/>
  <c r="D24" i="28" s="1"/>
  <c r="E22" i="47"/>
  <c r="E61" i="47"/>
  <c r="E140" i="47"/>
  <c r="E142" i="47" s="1"/>
  <c r="E100" i="47"/>
  <c r="E102" i="47" s="1"/>
  <c r="C93" i="52"/>
  <c r="G77" i="52"/>
  <c r="C56" i="52"/>
  <c r="G40" i="52"/>
  <c r="C130" i="52"/>
  <c r="G114" i="52"/>
  <c r="J2" i="47"/>
  <c r="D13" i="55"/>
  <c r="F13" i="55" s="1"/>
  <c r="J1" i="53"/>
  <c r="C24" i="28" s="1"/>
  <c r="D132" i="54"/>
  <c r="C25" i="28" s="1"/>
  <c r="J3" i="36"/>
  <c r="J4" i="47"/>
  <c r="D100" i="60"/>
  <c r="D101" i="60" s="1"/>
  <c r="D46" i="60"/>
  <c r="D52" i="60" s="1"/>
  <c r="F53" i="60" s="1"/>
  <c r="F101" i="38"/>
  <c r="F143" i="38"/>
  <c r="B145" i="38"/>
  <c r="B103" i="38"/>
  <c r="F59" i="38"/>
  <c r="B61" i="38"/>
  <c r="D145" i="60"/>
  <c r="D146" i="60" s="1"/>
  <c r="D134" i="60"/>
  <c r="D140" i="60" s="1"/>
  <c r="D89" i="60"/>
  <c r="D95" i="60" s="1"/>
  <c r="A115" i="52"/>
  <c r="A78" i="52"/>
  <c r="A41" i="52"/>
  <c r="E24" i="47"/>
  <c r="E63" i="47"/>
  <c r="H15" i="52"/>
  <c r="D59" i="60" l="1"/>
  <c r="E13" i="44"/>
  <c r="F141" i="60"/>
  <c r="D147" i="60"/>
  <c r="F96" i="60"/>
  <c r="D102" i="60"/>
  <c r="J1" i="47"/>
  <c r="H13" i="52"/>
  <c r="H9" i="52"/>
  <c r="G4" i="52"/>
  <c r="C21" i="52" l="1"/>
  <c r="E149" i="52" s="1"/>
  <c r="D23" i="28" s="1"/>
  <c r="A5" i="52"/>
  <c r="C20" i="52"/>
  <c r="E148" i="52" s="1"/>
  <c r="C23" i="28" s="1"/>
  <c r="D24" i="50"/>
  <c r="D145" i="50" l="1"/>
  <c r="G4" i="50"/>
  <c r="A6" i="50"/>
  <c r="D5" i="50"/>
  <c r="E5" i="50" s="1"/>
  <c r="D16" i="44"/>
  <c r="E8" i="44"/>
  <c r="F5" i="50" l="1"/>
  <c r="D16" i="50" s="1"/>
  <c r="D8" i="44"/>
  <c r="D25" i="40"/>
  <c r="D24" i="40"/>
  <c r="D23" i="40"/>
  <c r="D11" i="50" l="1"/>
  <c r="F12" i="50" s="1"/>
  <c r="B26" i="50"/>
  <c r="D26" i="40"/>
  <c r="G8" i="40"/>
  <c r="J2" i="40"/>
  <c r="C25" i="39"/>
  <c r="B27" i="50" l="1"/>
  <c r="D147" i="50" s="1"/>
  <c r="G16" i="44" s="1"/>
  <c r="D144" i="50"/>
  <c r="F16" i="44" s="1"/>
  <c r="D9" i="44"/>
  <c r="E9" i="44"/>
  <c r="D9" i="40"/>
  <c r="E9" i="40" s="1"/>
  <c r="F9" i="40" s="1"/>
  <c r="D30" i="40" s="1"/>
  <c r="J3" i="38"/>
  <c r="E12" i="44" s="1"/>
  <c r="J2" i="38"/>
  <c r="D12" i="44" s="1"/>
  <c r="D29" i="40" l="1"/>
  <c r="J1" i="40" s="1"/>
  <c r="F19" i="38"/>
  <c r="D14" i="38"/>
  <c r="D17" i="38" s="1"/>
  <c r="B21" i="38"/>
  <c r="J1" i="38" s="1"/>
  <c r="D24" i="59"/>
  <c r="F9" i="44" l="1"/>
  <c r="F12" i="44"/>
  <c r="B16" i="37"/>
  <c r="D133" i="59" l="1"/>
  <c r="D14" i="44" s="1"/>
  <c r="G4" i="59"/>
  <c r="D5" i="59"/>
  <c r="E5" i="59" s="1"/>
  <c r="A6" i="59"/>
  <c r="D11" i="59"/>
  <c r="E140" i="36"/>
  <c r="E139" i="36"/>
  <c r="E138" i="36"/>
  <c r="G126" i="36"/>
  <c r="E101" i="36"/>
  <c r="E100" i="36"/>
  <c r="E99" i="36"/>
  <c r="G87" i="36"/>
  <c r="E141" i="36" l="1"/>
  <c r="F5" i="59"/>
  <c r="D17" i="44"/>
  <c r="D118" i="37"/>
  <c r="D15" i="44" s="1"/>
  <c r="G4" i="37"/>
  <c r="D5" i="37"/>
  <c r="E5" i="37" s="1"/>
  <c r="E102" i="36"/>
  <c r="E143" i="36"/>
  <c r="E104" i="36"/>
  <c r="D16" i="59"/>
  <c r="D20" i="59" s="1"/>
  <c r="C26" i="59"/>
  <c r="A7" i="37"/>
  <c r="F12" i="59"/>
  <c r="E61" i="36"/>
  <c r="E60" i="36"/>
  <c r="E59" i="36"/>
  <c r="G47" i="36"/>
  <c r="E20" i="36"/>
  <c r="E19" i="36"/>
  <c r="E18" i="36"/>
  <c r="G6" i="36"/>
  <c r="F5" i="37" l="1"/>
  <c r="D11" i="37" s="1"/>
  <c r="F12" i="37" s="1"/>
  <c r="E62" i="36"/>
  <c r="E21" i="36"/>
  <c r="E23" i="36" s="1"/>
  <c r="C27" i="59"/>
  <c r="D132" i="59"/>
  <c r="F14" i="44" s="1"/>
  <c r="E64" i="36"/>
  <c r="J2" i="36"/>
  <c r="D13" i="44" s="1"/>
  <c r="D17" i="37"/>
  <c r="B23" i="37" l="1"/>
  <c r="B21" i="37"/>
  <c r="D117" i="37" s="1"/>
  <c r="F15" i="44" s="1"/>
  <c r="B15" i="37"/>
  <c r="J1" i="36"/>
  <c r="F13" i="44" s="1"/>
  <c r="D135" i="59"/>
  <c r="G14" i="44" s="1"/>
  <c r="B13" i="34"/>
  <c r="B14" i="34" s="1"/>
  <c r="F131" i="33"/>
  <c r="G123" i="33"/>
  <c r="F93" i="33"/>
  <c r="G85" i="33"/>
  <c r="F55" i="33"/>
  <c r="G47" i="33"/>
  <c r="F11" i="33"/>
  <c r="D7" i="33"/>
  <c r="B22" i="37" l="1"/>
  <c r="D120" i="37" s="1"/>
  <c r="G15" i="44" s="1"/>
  <c r="C160" i="33"/>
  <c r="E11" i="44" s="1"/>
  <c r="E35" i="44" s="1"/>
  <c r="C159" i="33"/>
  <c r="D11" i="44" s="1"/>
  <c r="D35" i="44" s="1"/>
  <c r="G4" i="33"/>
  <c r="D19" i="44"/>
  <c r="G4" i="34"/>
  <c r="D5" i="34"/>
  <c r="E5" i="34" s="1"/>
  <c r="D14" i="33"/>
  <c r="F10" i="33"/>
  <c r="F5" i="34" l="1"/>
  <c r="D7" i="34" s="1"/>
  <c r="F19" i="60"/>
  <c r="H8" i="60"/>
  <c r="G8" i="60"/>
  <c r="F8" i="60" l="1"/>
  <c r="D11" i="60" l="1"/>
  <c r="D17" i="60" s="1"/>
  <c r="D22" i="60"/>
  <c r="E8" i="60"/>
  <c r="D8" i="60" s="1"/>
  <c r="C8" i="60"/>
  <c r="J3" i="60" s="1"/>
  <c r="B8" i="60"/>
  <c r="J2" i="60" s="1"/>
  <c r="D23" i="60" l="1"/>
  <c r="J1" i="60"/>
  <c r="J2" i="58"/>
  <c r="C31" i="31"/>
  <c r="C34" i="31" s="1"/>
  <c r="D10" i="58" l="1"/>
  <c r="E10" i="58" s="1"/>
  <c r="F10" i="58" s="1"/>
  <c r="C30" i="31"/>
  <c r="D13" i="58" l="1"/>
  <c r="D25" i="58"/>
  <c r="J1" i="58" s="1"/>
  <c r="K3" i="31"/>
  <c r="D18" i="44" l="1"/>
  <c r="D36" i="44" s="1"/>
  <c r="D19" i="58"/>
  <c r="D27" i="58" s="1"/>
  <c r="D26" i="58"/>
  <c r="F20" i="58"/>
  <c r="E18" i="44"/>
  <c r="E36" i="44" s="1"/>
  <c r="D13" i="31"/>
  <c r="E13" i="31" s="1"/>
  <c r="B12" i="43"/>
  <c r="B11" i="43"/>
  <c r="F13" i="31" l="1"/>
  <c r="E21" i="31" s="1"/>
  <c r="J4" i="58"/>
  <c r="B7" i="43"/>
  <c r="B9" i="43" s="1"/>
  <c r="C31" i="28" l="1"/>
  <c r="E18" i="28"/>
  <c r="B13" i="43"/>
  <c r="B14" i="43" s="1"/>
  <c r="D31" i="28"/>
  <c r="F7" i="46" l="1"/>
  <c r="G7" i="46" s="1"/>
  <c r="E5" i="44"/>
  <c r="D5" i="44"/>
  <c r="D6" i="44"/>
  <c r="E7" i="44"/>
  <c r="E4" i="44"/>
  <c r="D4" i="44"/>
  <c r="C35" i="31"/>
  <c r="C153" i="31" s="1"/>
  <c r="F18" i="60"/>
  <c r="D24" i="60"/>
  <c r="D51" i="33"/>
  <c r="F54" i="33" s="1"/>
  <c r="D89" i="33"/>
  <c r="F92" i="33" s="1"/>
  <c r="D127" i="33"/>
  <c r="F130" i="33" s="1"/>
  <c r="D20" i="50"/>
  <c r="D22" i="50" s="1"/>
  <c r="D34" i="44" l="1"/>
  <c r="D38" i="44" s="1"/>
  <c r="C40" i="44" s="1"/>
  <c r="C36" i="31"/>
  <c r="C156" i="31" s="1"/>
  <c r="D96" i="33"/>
  <c r="D58" i="33"/>
  <c r="D134" i="33"/>
  <c r="C27" i="28"/>
  <c r="C32" i="28" s="1"/>
  <c r="C33" i="28" s="1"/>
  <c r="C35" i="28" s="1"/>
  <c r="D27" i="28"/>
  <c r="D32" i="28" s="1"/>
  <c r="E6" i="44"/>
  <c r="E34" i="44" s="1"/>
  <c r="E38" i="44" s="1"/>
  <c r="C39" i="44" l="1"/>
  <c r="C37" i="31"/>
  <c r="C158" i="33"/>
  <c r="F11" i="44" s="1"/>
  <c r="D11" i="55"/>
  <c r="D12" i="55" s="1"/>
  <c r="E26" i="31" l="1"/>
  <c r="F8" i="44"/>
  <c r="C16" i="39"/>
  <c r="B31" i="39"/>
  <c r="B32" i="39" s="1"/>
  <c r="F18" i="44"/>
  <c r="J1" i="39" l="1"/>
  <c r="F10" i="44" s="1"/>
  <c r="F35" i="44" s="1"/>
  <c r="G18" i="44"/>
  <c r="C38" i="31"/>
  <c r="C21" i="39"/>
  <c r="C26" i="39"/>
  <c r="D33" i="28" l="1"/>
  <c r="E33" i="28" l="1"/>
  <c r="F33" i="28" s="1"/>
  <c r="G33" i="28" s="1"/>
  <c r="D35" i="28"/>
  <c r="E35" i="28" s="1"/>
  <c r="F35" i="28" s="1"/>
  <c r="G35" i="28" s="1"/>
  <c r="E31" i="28"/>
  <c r="F31" i="28" s="1"/>
  <c r="H35" i="28" l="1"/>
  <c r="B18" i="34" l="1"/>
  <c r="B15" i="34"/>
  <c r="B25" i="34" l="1"/>
  <c r="B23" i="34"/>
  <c r="D116" i="34" s="1"/>
  <c r="F19" i="44" l="1"/>
  <c r="F36" i="44" s="1"/>
  <c r="B24" i="34"/>
  <c r="G19" i="44" l="1"/>
  <c r="G36" i="44" l="1"/>
  <c r="G38" i="44" s="1"/>
  <c r="F10" i="46" l="1"/>
  <c r="G10" i="46" l="1"/>
  <c r="G31" i="28" l="1"/>
  <c r="G36" i="28" s="1"/>
  <c r="H18" i="28"/>
  <c r="G4" i="46"/>
  <c r="F34" i="44" l="1"/>
  <c r="F38" i="44" s="1"/>
  <c r="H36" i="28"/>
  <c r="F5" i="46" l="1"/>
  <c r="F12" i="46"/>
  <c r="G12" i="46" s="1"/>
  <c r="F8" i="46" l="1"/>
  <c r="B9" i="46" s="1"/>
  <c r="F6" i="46"/>
  <c r="G5" i="46"/>
  <c r="F11" i="46"/>
  <c r="F13" i="46" l="1"/>
  <c r="B14" i="46" s="1"/>
  <c r="H11" i="46"/>
  <c r="G11" i="46"/>
</calcChain>
</file>

<file path=xl/sharedStrings.xml><?xml version="1.0" encoding="utf-8"?>
<sst xmlns="http://schemas.openxmlformats.org/spreadsheetml/2006/main" count="4291" uniqueCount="624">
  <si>
    <t>in</t>
  </si>
  <si>
    <t>WQv</t>
  </si>
  <si>
    <t>Filter Width</t>
  </si>
  <si>
    <t>Filter Length</t>
  </si>
  <si>
    <t>Area</t>
  </si>
  <si>
    <t>Total Area</t>
  </si>
  <si>
    <t>Impervious Area</t>
  </si>
  <si>
    <t>Rv</t>
  </si>
  <si>
    <t>Total</t>
  </si>
  <si>
    <t>Length</t>
  </si>
  <si>
    <t>Bottom Width</t>
  </si>
  <si>
    <t>%</t>
  </si>
  <si>
    <t>ft</t>
  </si>
  <si>
    <t>A</t>
  </si>
  <si>
    <t>df</t>
  </si>
  <si>
    <t>k</t>
  </si>
  <si>
    <t>hf</t>
  </si>
  <si>
    <t>tf</t>
  </si>
  <si>
    <t>days</t>
  </si>
  <si>
    <t>ft/day</t>
  </si>
  <si>
    <t>Af</t>
  </si>
  <si>
    <t>Units</t>
  </si>
  <si>
    <t>Required Area of Filter</t>
  </si>
  <si>
    <t>RRv</t>
  </si>
  <si>
    <t>Value</t>
  </si>
  <si>
    <t>B</t>
  </si>
  <si>
    <t>Actual Volume Provided</t>
  </si>
  <si>
    <t>C</t>
  </si>
  <si>
    <t>D</t>
  </si>
  <si>
    <t>Description</t>
  </si>
  <si>
    <t>Notes</t>
  </si>
  <si>
    <t>Minimum RRv</t>
  </si>
  <si>
    <t>Runoff Reduction</t>
  </si>
  <si>
    <t>Infiltration Basin</t>
  </si>
  <si>
    <t>Yes</t>
  </si>
  <si>
    <t>Practice</t>
  </si>
  <si>
    <t>Application</t>
  </si>
  <si>
    <t>Preservation of Undisturbed Areas</t>
  </si>
  <si>
    <t>Delineate and place into permanent conservation undisturbed forests, native vegetated areas, riparian corridors, wetlands, and natural terrain.</t>
  </si>
  <si>
    <t>Preservation of Buffers</t>
  </si>
  <si>
    <t>Define, delineate and preserve naturally vegetated buffers along perennial streams, rivers, shorelines and wetlands.</t>
  </si>
  <si>
    <t>Reduction of Clearing and Grading</t>
  </si>
  <si>
    <t>Limit clearing and grading to the minimum amount needed for roads, driveways, foundations, utilities and stormwater management facilities.</t>
  </si>
  <si>
    <t>Locating Development in Less Sensitive Areas</t>
  </si>
  <si>
    <t>Avoid sensitive resource areas such as floodplains, steep slopes, erodible soils, wetlands, mature forests and critical habitats by locating development to fit the terrain in areas that will create the least impact.</t>
  </si>
  <si>
    <t>Open Space Design</t>
  </si>
  <si>
    <t>Use clustering, conservation design or open space design to reduce impervious cover, preserve more open space and protect water resources.</t>
  </si>
  <si>
    <t>Soil Restoration</t>
  </si>
  <si>
    <t>Restore the original properties and porosity of the soil by deep till and amendment with compost to reduce the generation of runoff and enhance the runoff reduction performance of post construction practices.</t>
  </si>
  <si>
    <t>Roadway Reduction</t>
  </si>
  <si>
    <t>Minimize roadway widths and lengths to reduce site impervious area</t>
  </si>
  <si>
    <t>Sidewalk Reduction</t>
  </si>
  <si>
    <t>Minimize sidewalk lengths and widths to reduce site impervious area</t>
  </si>
  <si>
    <t>Driveway Reduction</t>
  </si>
  <si>
    <t>Minimize driveway lengths and widths to reduce site impervious area</t>
  </si>
  <si>
    <t>Cul-de-sac Reduction</t>
  </si>
  <si>
    <t>Minimize the number of cul-de-sacs and incorporate landscaped areas to reduce their impervious cover.</t>
  </si>
  <si>
    <t>Building Footprint Reduction</t>
  </si>
  <si>
    <t>Reduce the impervious footprint of residences and commercial buildings by using alternate or taller buildings while maintaining the same floor to area ratio.</t>
  </si>
  <si>
    <t>Parking Reduction</t>
  </si>
  <si>
    <t>Reduce imperviousness on parking lots by eliminating unneeded spaces, providing compact car spaces and efficient parking lanes, minimizing stall dimensions, using porous pavement surfaces in overflow parking areas, and using multi-storied parking decks where appropriate.</t>
  </si>
  <si>
    <t>Determine the Runoff Reduction</t>
  </si>
  <si>
    <t>Pretreatment (10% of WQv)</t>
  </si>
  <si>
    <t>Design Elements</t>
  </si>
  <si>
    <t>Channel Protection</t>
  </si>
  <si>
    <t>Overbank</t>
  </si>
  <si>
    <t>Extreme Flood Control</t>
  </si>
  <si>
    <t>Qp</t>
  </si>
  <si>
    <t>Qf</t>
  </si>
  <si>
    <t>Cpv</t>
  </si>
  <si>
    <t>Percent Impervious</t>
  </si>
  <si>
    <t>Precipitation</t>
  </si>
  <si>
    <t>Top Width</t>
  </si>
  <si>
    <t>Vegetated Swale</t>
  </si>
  <si>
    <t>Rain Garden</t>
  </si>
  <si>
    <t>Breakdown of Subcatchments</t>
  </si>
  <si>
    <t>(Acres)</t>
  </si>
  <si>
    <t>Technique</t>
  </si>
  <si>
    <t>(Acre)</t>
  </si>
  <si>
    <t>Enter Site Data For Drainage Area to be Treated by Practice</t>
  </si>
  <si>
    <t>Af=WQv*(df)/[k*(hf+df)(tf)]</t>
  </si>
  <si>
    <t>Calculate the Minimum Filter Area</t>
  </si>
  <si>
    <t>Enter Depth of Soil Media</t>
  </si>
  <si>
    <t>Enter Hydraulic Conductivity</t>
  </si>
  <si>
    <t>Enter Average Height of Ponding</t>
  </si>
  <si>
    <t>Enter Filter Time</t>
  </si>
  <si>
    <t>2.5-4 ft</t>
  </si>
  <si>
    <t>Determine Actual Bio-Retention Area</t>
  </si>
  <si>
    <t>Determine Runoff Reduction</t>
  </si>
  <si>
    <t>In</t>
  </si>
  <si>
    <t>Calculate Required Cistern/Rainbarrel Volume</t>
  </si>
  <si>
    <t>Enter Parameters for Proposed Green Roof</t>
  </si>
  <si>
    <t>Green Roof Surface Area</t>
  </si>
  <si>
    <t>Depth of Soil Media</t>
  </si>
  <si>
    <t>Depth of Drainage Layer</t>
  </si>
  <si>
    <t>Depth of Ponding Above Surface</t>
  </si>
  <si>
    <t>Porosity of the Soil Media</t>
  </si>
  <si>
    <t>Porosity of the Drainage Layer</t>
  </si>
  <si>
    <t>Calculations</t>
  </si>
  <si>
    <t>Max 20%</t>
  </si>
  <si>
    <t>Max 25%</t>
  </si>
  <si>
    <t>Volume Provided In Soil Media</t>
  </si>
  <si>
    <t>Volume Provided In Drainage Layer</t>
  </si>
  <si>
    <t>Pretreatment Techniques to Prevent Clogging</t>
  </si>
  <si>
    <t>Size An Infiltration Basin</t>
  </si>
  <si>
    <t>Design Volume</t>
  </si>
  <si>
    <t>Surface Area</t>
  </si>
  <si>
    <t>Calculate Available Storage Capacity</t>
  </si>
  <si>
    <t>Gravel Bed Depth</t>
  </si>
  <si>
    <t>Calculate the Mimimum Filter Area</t>
  </si>
  <si>
    <t>ft/d</t>
  </si>
  <si>
    <t>d</t>
  </si>
  <si>
    <t>Hydraulic Conductivity</t>
  </si>
  <si>
    <t>Average Height of Ponding</t>
  </si>
  <si>
    <t>Filter Time</t>
  </si>
  <si>
    <t>Area of Filter</t>
  </si>
  <si>
    <t>Width</t>
  </si>
  <si>
    <t>Rain Garden Parameters</t>
  </si>
  <si>
    <t>Total Volume Provided</t>
  </si>
  <si>
    <t>Volume Provided In Ponding Area</t>
  </si>
  <si>
    <t>Calculate Peak WQv</t>
  </si>
  <si>
    <t>Q</t>
  </si>
  <si>
    <t>Q^2</t>
  </si>
  <si>
    <t>1.25QP</t>
  </si>
  <si>
    <t>(Q^2+1.25QP)^0.5</t>
  </si>
  <si>
    <t>10*(Q^2+1.25QP)^0.5</t>
  </si>
  <si>
    <t>Ia</t>
  </si>
  <si>
    <t>Ia/P</t>
  </si>
  <si>
    <t>Tc  (hours)</t>
  </si>
  <si>
    <t>qu</t>
  </si>
  <si>
    <t>cfs</t>
  </si>
  <si>
    <t>Q10</t>
  </si>
  <si>
    <t>Enter Swale Dimensions</t>
  </si>
  <si>
    <t>Side Slopes</t>
  </si>
  <si>
    <t>Longitudinal Slope</t>
  </si>
  <si>
    <t>Wetted Perimeter</t>
  </si>
  <si>
    <t>Mannings Coef.</t>
  </si>
  <si>
    <t>Detention Time</t>
  </si>
  <si>
    <t>Filter Area</t>
  </si>
  <si>
    <t>Catchment</t>
  </si>
  <si>
    <t>Impervious Cover</t>
  </si>
  <si>
    <t>Ap</t>
  </si>
  <si>
    <t>Required porous pavement surface area</t>
  </si>
  <si>
    <t>ft2</t>
  </si>
  <si>
    <t>Vw</t>
  </si>
  <si>
    <t>ft3</t>
  </si>
  <si>
    <t>n</t>
  </si>
  <si>
    <t>porosity of gravel bed/resevoir</t>
  </si>
  <si>
    <t>Assume .4 for gravel</t>
  </si>
  <si>
    <t>dt</t>
  </si>
  <si>
    <t>depth of gravel bed/resevoir</t>
  </si>
  <si>
    <t>Ap = Vw / (n x dt)</t>
  </si>
  <si>
    <t>WQv ≤ VSM + VDL + (DP x AGR)</t>
  </si>
  <si>
    <t>VSM = AGR x DSM x nSM</t>
  </si>
  <si>
    <t>VDL = AGR x DDL x nDL</t>
  </si>
  <si>
    <t>AGR</t>
  </si>
  <si>
    <t>DSM</t>
  </si>
  <si>
    <t>DDL</t>
  </si>
  <si>
    <t>DP</t>
  </si>
  <si>
    <t>nSM</t>
  </si>
  <si>
    <t>nDL</t>
  </si>
  <si>
    <t>VSM</t>
  </si>
  <si>
    <t>VDL</t>
  </si>
  <si>
    <t>WQv ≤ VSM + VDL + (DP x ARG)</t>
  </si>
  <si>
    <t>VSM = ARG x DSM x nSM</t>
  </si>
  <si>
    <t>VDL (optional) = ARG x DDL x nDL</t>
  </si>
  <si>
    <t>1 to 1.5</t>
  </si>
  <si>
    <t>(WQv*7.5)</t>
  </si>
  <si>
    <t>Tree Planting</t>
  </si>
  <si>
    <t>Disconnection of Rooftop Runoff</t>
  </si>
  <si>
    <t>Contributing Impervious Area</t>
  </si>
  <si>
    <t>Total Contributing Area</t>
  </si>
  <si>
    <t>Runoff Reduction Volume and Treated volumes</t>
  </si>
  <si>
    <t>Micropool Extended Detention (P-1)</t>
  </si>
  <si>
    <t>Wet Pond (P-2)</t>
  </si>
  <si>
    <t>Wet Extended Detention (P-3)</t>
  </si>
  <si>
    <t>Multiple Pond system (P-4)</t>
  </si>
  <si>
    <t>Pocket Pond (p-5)</t>
  </si>
  <si>
    <t>Surface Sand filter (F-1)</t>
  </si>
  <si>
    <t>Underground Sand filter (F-2)</t>
  </si>
  <si>
    <t>Perimeter Sand Filter (F-3)</t>
  </si>
  <si>
    <t>Organic Filter (F-4</t>
  </si>
  <si>
    <t>Shallow Wetland (W-1)</t>
  </si>
  <si>
    <t>Extended Detention Wetland (W-2</t>
  </si>
  <si>
    <t>Pond/Wetland System (W-3)</t>
  </si>
  <si>
    <t>Pocket Wetland (W-4)</t>
  </si>
  <si>
    <t>Wet Swale (O-2)</t>
  </si>
  <si>
    <t>Are Quantity Control requirements met?</t>
  </si>
  <si>
    <t>Total Contributing Impervious Area</t>
  </si>
  <si>
    <t xml:space="preserve"> </t>
  </si>
  <si>
    <t>Design Depth</t>
  </si>
  <si>
    <t>Actual Length</t>
  </si>
  <si>
    <r>
      <t xml:space="preserve">Is RRv Provided </t>
    </r>
    <r>
      <rPr>
        <sz val="11"/>
        <color theme="1"/>
        <rFont val="Calibri"/>
        <family val="2"/>
      </rPr>
      <t>≥</t>
    </r>
    <r>
      <rPr>
        <sz val="11"/>
        <color theme="1"/>
        <rFont val="Calibri"/>
        <family val="2"/>
        <scheme val="minor"/>
      </rPr>
      <t>WQv Required?</t>
    </r>
  </si>
  <si>
    <t>Is RRv Provided ≥ Minimum RRv Required?</t>
  </si>
  <si>
    <t>WQv Treated</t>
  </si>
  <si>
    <t>Runoff Reduction Techiques/Standard SMPs</t>
  </si>
  <si>
    <t>Water Quality Volume (ft3)</t>
  </si>
  <si>
    <t>Depth of the Soil Medium (feet)</t>
  </si>
  <si>
    <t>Acres</t>
  </si>
  <si>
    <t>Gallons</t>
  </si>
  <si>
    <t xml:space="preserve">k </t>
  </si>
  <si>
    <t>Average height of water above the planter bed</t>
  </si>
  <si>
    <t>The Design Time to Filter the Treatment Volume Through the Filter Media (days)</t>
  </si>
  <si>
    <t xml:space="preserve">tf </t>
  </si>
  <si>
    <t>Required Surface Area (ft2)</t>
  </si>
  <si>
    <r>
      <t>(ft</t>
    </r>
    <r>
      <rPr>
        <i/>
        <vertAlign val="superscript"/>
        <sz val="11"/>
        <color theme="1"/>
        <rFont val="Calibri"/>
        <family val="2"/>
        <scheme val="minor"/>
      </rPr>
      <t>3</t>
    </r>
    <r>
      <rPr>
        <i/>
        <sz val="11"/>
        <color theme="1"/>
        <rFont val="Calibri"/>
        <family val="2"/>
        <scheme val="minor"/>
      </rPr>
      <t>)</t>
    </r>
  </si>
  <si>
    <t>inches</t>
  </si>
  <si>
    <r>
      <t>ft</t>
    </r>
    <r>
      <rPr>
        <i/>
        <vertAlign val="superscript"/>
        <sz val="11"/>
        <color theme="1"/>
        <rFont val="Calibri"/>
        <family val="2"/>
        <scheme val="minor"/>
      </rPr>
      <t>3</t>
    </r>
  </si>
  <si>
    <r>
      <t>ft</t>
    </r>
    <r>
      <rPr>
        <b/>
        <i/>
        <vertAlign val="superscript"/>
        <sz val="11"/>
        <color theme="1"/>
        <rFont val="Calibri"/>
        <family val="2"/>
        <scheme val="minor"/>
      </rPr>
      <t>2</t>
    </r>
  </si>
  <si>
    <t>Required Filter Area</t>
  </si>
  <si>
    <r>
      <t>ft</t>
    </r>
    <r>
      <rPr>
        <i/>
        <vertAlign val="superscript"/>
        <sz val="11"/>
        <color theme="1"/>
        <rFont val="Calibri"/>
        <family val="2"/>
        <scheme val="minor"/>
      </rPr>
      <t>2</t>
    </r>
  </si>
  <si>
    <t>Runoff Coefficient</t>
  </si>
  <si>
    <t>S =</t>
  </si>
  <si>
    <t>Impervious =</t>
  </si>
  <si>
    <t xml:space="preserve">Rv </t>
  </si>
  <si>
    <t>Enter the Soils Data for the site</t>
  </si>
  <si>
    <t>Soil Group</t>
  </si>
  <si>
    <t>Calculate the Minimum RRv</t>
  </si>
  <si>
    <t>acre</t>
  </si>
  <si>
    <t xml:space="preserve">Conservation of Natural Areas </t>
  </si>
  <si>
    <t>Up to 100 sf directly connected impervious area may be subtracted per tree</t>
  </si>
  <si>
    <t>Identify Runoff Reduction Techniques By Area</t>
  </si>
  <si>
    <t>P=</t>
  </si>
  <si>
    <t>Porosity of Gravel Bed</t>
  </si>
  <si>
    <t xml:space="preserve">Af </t>
  </si>
  <si>
    <t>Depth of the Soil Medium (ft)</t>
  </si>
  <si>
    <t>The Hyrdaulic Conductivity (ft/day), usually set at 4 ft/day when soil is loosely placed in the planter, but can be varied depending on the properties of the soil media.</t>
  </si>
  <si>
    <t>Average Height of Water above planter bed (ft)</t>
  </si>
  <si>
    <r>
      <t>Enter Site D</t>
    </r>
    <r>
      <rPr>
        <sz val="11"/>
        <color theme="1"/>
        <rFont val="Calibri"/>
        <family val="2"/>
        <scheme val="minor"/>
      </rPr>
      <t>ata For Drainage Area to be Treated by Practice</t>
    </r>
  </si>
  <si>
    <t>Enter Rain Garden Surface area</t>
  </si>
  <si>
    <t>ARG</t>
  </si>
  <si>
    <t>Enter depth of soil Media</t>
  </si>
  <si>
    <t>sf</t>
  </si>
  <si>
    <t>≥ 0.5 ft</t>
  </si>
  <si>
    <t>Enter depth of drainage layer</t>
  </si>
  <si>
    <t>≤ 0.5</t>
  </si>
  <si>
    <t>≥20%</t>
  </si>
  <si>
    <t>≥ 40%</t>
  </si>
  <si>
    <t>Enter porosity of Soil Media</t>
  </si>
  <si>
    <t>Enter porosity of Drainage Layer</t>
  </si>
  <si>
    <t>Enter ponding depth above surface</t>
  </si>
  <si>
    <t>Volume Provided in Drainage Layer</t>
  </si>
  <si>
    <t>Storage Volume Provided in Green Roof</t>
  </si>
  <si>
    <t>Volume Treated</t>
  </si>
  <si>
    <t>This is the portion of the WQv that is not reduced/infiltrated</t>
  </si>
  <si>
    <t>Storage Capacity</t>
  </si>
  <si>
    <t>Design with a bottom width no greater than eight feet to avoid potential gullying and channel braiding, but no less than two feet</t>
  </si>
  <si>
    <t>Maximum ponding depth of one foot at the mid-point of the channel, and a maximum depth of 18" at the end point of the channel (for storage of the WQv)</t>
  </si>
  <si>
    <t>Channels shall be designed with moderate side slopes (flatter than 3:1) for most conditions. 2:1 is the
absolute maximum side slope</t>
  </si>
  <si>
    <r>
      <t>ft</t>
    </r>
    <r>
      <rPr>
        <b/>
        <i/>
        <vertAlign val="superscript"/>
        <sz val="11"/>
        <color theme="1"/>
        <rFont val="Calibri"/>
        <family val="2"/>
        <scheme val="minor"/>
      </rPr>
      <t>3</t>
    </r>
  </si>
  <si>
    <t>RR-1</t>
  </si>
  <si>
    <t>RR-2</t>
  </si>
  <si>
    <t>RR-3</t>
  </si>
  <si>
    <t>RR-4</t>
  </si>
  <si>
    <t>RR-5</t>
  </si>
  <si>
    <t>RR-6</t>
  </si>
  <si>
    <t>RR-7</t>
  </si>
  <si>
    <t>RR-8</t>
  </si>
  <si>
    <t>RR-9</t>
  </si>
  <si>
    <t>I-1</t>
  </si>
  <si>
    <t>I-2</t>
  </si>
  <si>
    <t>I-3</t>
  </si>
  <si>
    <t>I-4</t>
  </si>
  <si>
    <t>F-5</t>
  </si>
  <si>
    <t>O-1</t>
  </si>
  <si>
    <t>Sheetflow to Riparian Buffers/Filter Strips</t>
  </si>
  <si>
    <t>Tree Planting/Tree Pit</t>
  </si>
  <si>
    <t xml:space="preserve">Total Contributing Area </t>
  </si>
  <si>
    <t>Green Roof</t>
  </si>
  <si>
    <t>RR-10</t>
  </si>
  <si>
    <t>Stormwater Planter</t>
  </si>
  <si>
    <t>Rain Barrel/Cistern</t>
  </si>
  <si>
    <t>Porous Pavement</t>
  </si>
  <si>
    <t>Infiltration Trench</t>
  </si>
  <si>
    <t>Dry Well</t>
  </si>
  <si>
    <t>Underground Infiltration System</t>
  </si>
  <si>
    <t>Bioretention</t>
  </si>
  <si>
    <t>Dry swale</t>
  </si>
  <si>
    <t>Standard SMPs w/RRv Capacity</t>
  </si>
  <si>
    <t>P-1</t>
  </si>
  <si>
    <t>P-2</t>
  </si>
  <si>
    <t>P-3</t>
  </si>
  <si>
    <t>P-4</t>
  </si>
  <si>
    <t>P-5</t>
  </si>
  <si>
    <t>F-1</t>
  </si>
  <si>
    <t>F-2</t>
  </si>
  <si>
    <t>F-3</t>
  </si>
  <si>
    <t>F-4</t>
  </si>
  <si>
    <t>W-1</t>
  </si>
  <si>
    <t>W-2</t>
  </si>
  <si>
    <t>W-3</t>
  </si>
  <si>
    <t>W-4</t>
  </si>
  <si>
    <t>O-2</t>
  </si>
  <si>
    <t xml:space="preserve">Standard SMPs  </t>
  </si>
  <si>
    <t>WQv Reduced (RRv)</t>
  </si>
  <si>
    <t>(acres)</t>
  </si>
  <si>
    <t>cf</t>
  </si>
  <si>
    <t>32a</t>
  </si>
  <si>
    <t xml:space="preserve">Sum of Volume Reduced and Treated </t>
  </si>
  <si>
    <t>Apply Peak Flow Attenuation</t>
  </si>
  <si>
    <t>Total Volume Treated</t>
  </si>
  <si>
    <t>Sum of Volume Reduced &amp; Treated</t>
  </si>
  <si>
    <t>#</t>
  </si>
  <si>
    <t>NOI Question</t>
  </si>
  <si>
    <t>Minimum Length</t>
  </si>
  <si>
    <t>Maximum longitudinal slope shall be 4%</t>
  </si>
  <si>
    <t>End Point Depth check</t>
  </si>
  <si>
    <t>Side Slope (X:1)</t>
  </si>
  <si>
    <t xml:space="preserve">Pretreatment Provided </t>
  </si>
  <si>
    <t>Volume Provided</t>
  </si>
  <si>
    <t>Storage Volume provided in infiltration basin area (not including pretreatment.</t>
  </si>
  <si>
    <r>
      <t xml:space="preserve">Sizing </t>
    </r>
    <r>
      <rPr>
        <sz val="11"/>
        <color theme="1"/>
        <rFont val="Calibri"/>
        <family val="2"/>
      </rPr>
      <t>√</t>
    </r>
  </si>
  <si>
    <r>
      <t xml:space="preserve">Impervious Cover </t>
    </r>
    <r>
      <rPr>
        <sz val="11"/>
        <color theme="1"/>
        <rFont val="Calibri"/>
        <family val="2"/>
      </rPr>
      <t>√</t>
    </r>
  </si>
  <si>
    <r>
      <t xml:space="preserve">Volume </t>
    </r>
    <r>
      <rPr>
        <sz val="11"/>
        <color theme="1"/>
        <rFont val="Calibri"/>
        <family val="2"/>
      </rPr>
      <t>√</t>
    </r>
  </si>
  <si>
    <t>0.25-0.5</t>
  </si>
  <si>
    <t>Volume in Ponding Layer</t>
  </si>
  <si>
    <t>Infiltration Rate</t>
  </si>
  <si>
    <t>in/hour</t>
  </si>
  <si>
    <t>Pretreatment Sizing</t>
  </si>
  <si>
    <t>of WQv</t>
  </si>
  <si>
    <t>Storage Volume provided in dry well (not including pretreatment.</t>
  </si>
  <si>
    <t>Porosity</t>
  </si>
  <si>
    <t>Size the Dry Well(s)</t>
  </si>
  <si>
    <t>90% of the storage provided</t>
  </si>
  <si>
    <t>Ap = Vw / (ndt)</t>
  </si>
  <si>
    <r>
      <t xml:space="preserve">Is Contiguous Area </t>
    </r>
    <r>
      <rPr>
        <sz val="11"/>
        <color theme="1"/>
        <rFont val="Calibri"/>
        <family val="2"/>
      </rPr>
      <t>≥ 10,000 ft2?</t>
    </r>
  </si>
  <si>
    <t>Is  the Conservation area located in an acceptable conservation easement instrument that ensures perpetual protection of proposed area?</t>
  </si>
  <si>
    <t>Does the conservation area receive runoff from other contributing areas?</t>
  </si>
  <si>
    <t>Does the easement specify how the natural area vegetation will be managed and boundaries will be marked?</t>
  </si>
  <si>
    <t>Recalculate WQv after application of Area Reduction Techniques</t>
  </si>
  <si>
    <t>Subtract Area</t>
  </si>
  <si>
    <t>Disconnection of Rooftops</t>
  </si>
  <si>
    <t>minimum 10,000 sf</t>
  </si>
  <si>
    <t>maximum contributing length 75 feet to 150 feet</t>
  </si>
  <si>
    <t>Does Conservation Area drain to a Design Point?</t>
  </si>
  <si>
    <t>Is Sheet Flow to Riparian Buffer or another area based practice already being Used for this area?</t>
  </si>
  <si>
    <t>Will limits of disturbance be clearly shown on all construction drawings and marked in field/project development site with structural barriers?</t>
  </si>
  <si>
    <t>:1</t>
  </si>
  <si>
    <t>fps</t>
  </si>
  <si>
    <t>Between .5% and 4% (1.5-2.5% Preferred)</t>
  </si>
  <si>
    <t>Minimum of 2 ft but no greater than 6 ft</t>
  </si>
  <si>
    <t>Use variable n values corresponding to flow depths (from .15 down to .03) (APPENDIX L)</t>
  </si>
  <si>
    <t>Velocity</t>
  </si>
  <si>
    <t>minutes</t>
  </si>
  <si>
    <t>Q10 Velocity</t>
  </si>
  <si>
    <t>Q10 flow depth</t>
  </si>
  <si>
    <t>Q10 freeboard</t>
  </si>
  <si>
    <t>From TR-55</t>
  </si>
  <si>
    <t>Underdrains?</t>
  </si>
  <si>
    <t>No</t>
  </si>
  <si>
    <t>RRv applied</t>
  </si>
  <si>
    <t>25% minimum; 50% if &gt;2 in/hr;  100% if &gt;5in/hour</t>
  </si>
  <si>
    <t>Undisturbed Soil and Natural Vegetation? (Y/N)</t>
  </si>
  <si>
    <t>Adjacent to Stream Buffer or Forest Conservaton Area?</t>
  </si>
  <si>
    <t>Boundary Spreader?</t>
  </si>
  <si>
    <t>Boundary Zone?</t>
  </si>
  <si>
    <t>Specify how sheet flow will be ensured.</t>
  </si>
  <si>
    <t>Y/N</t>
  </si>
  <si>
    <t xml:space="preserve">Outside the limits of disturbance? </t>
  </si>
  <si>
    <t>Protected by ESC during Construction?</t>
  </si>
  <si>
    <t>150 ft maximum</t>
  </si>
  <si>
    <t>6% maximum</t>
  </si>
  <si>
    <t>4% maximum</t>
  </si>
  <si>
    <t>Slope of first 10 feet of buffer</t>
  </si>
  <si>
    <t>Overall Slope</t>
  </si>
  <si>
    <t>75 ft maximum</t>
  </si>
  <si>
    <t>Buffer Width</t>
  </si>
  <si>
    <t>level spreader shall be used for buffer slopes ranging from 3-15%</t>
  </si>
  <si>
    <t>Is another area based practice applied to this area?</t>
  </si>
  <si>
    <t>Soil Group (HSG)</t>
  </si>
  <si>
    <t>50 ft minimum for slopes 0-8%
75 ft minimum for slopes 8-12%
100 ft minimum for slopes 12-15%
HSG C or D increase by 15-20%</t>
  </si>
  <si>
    <t>Contributing  Length of Impervious areas (IC)</t>
  </si>
  <si>
    <t>Contributing Length of Pervious Areas (PC)</t>
  </si>
  <si>
    <t>Maximum PC Contributing Length for combination of PC &amp; IC</t>
  </si>
  <si>
    <t>Area Reduction Adjustments</t>
  </si>
  <si>
    <t>from total Area</t>
  </si>
  <si>
    <t>from total Impervious Area</t>
  </si>
  <si>
    <t>Subtract</t>
  </si>
  <si>
    <t>Riprarian Buffers</t>
  </si>
  <si>
    <t>Filter Strips</t>
  </si>
  <si>
    <t xml:space="preserve">Amended Soils &amp; Dense Turf Cover? </t>
  </si>
  <si>
    <t>Is area protected from compaction from heavy equipment during construction?</t>
  </si>
  <si>
    <t>Small Area of Impervious Area &amp; close to source?</t>
  </si>
  <si>
    <t>Composte Amendments?</t>
  </si>
  <si>
    <t>Gravel Diaphram at top
Permeable Berm at bottom</t>
  </si>
  <si>
    <t>25 feet of level grass</t>
  </si>
  <si>
    <t>10 feet of level grass</t>
  </si>
  <si>
    <t>GD at top of buffer</t>
  </si>
  <si>
    <t>2% maximum</t>
  </si>
  <si>
    <t>8% maximum</t>
  </si>
  <si>
    <t xml:space="preserve">Average contributing slope </t>
  </si>
  <si>
    <t>3% maximum unless a level spreader is used.</t>
  </si>
  <si>
    <t>Filter Strip Width</t>
  </si>
  <si>
    <t>Slope of first 10 feet of Filter Strip</t>
  </si>
  <si>
    <t>Soil Type</t>
  </si>
  <si>
    <t>Hotspot Area?</t>
  </si>
  <si>
    <t>Length of flow path from Impervious Surfaces</t>
  </si>
  <si>
    <t>75 feet maximum</t>
  </si>
  <si>
    <t>Distance of downspouts from impervious areas</t>
  </si>
  <si>
    <t>&gt;10 feet</t>
  </si>
  <si>
    <t>Contributing Area of Rooftop</t>
  </si>
  <si>
    <t>500 sf maximum.  Up to 2000 sf with suitable flow dispersion technique</t>
  </si>
  <si>
    <t>Method of flow dispersion</t>
  </si>
  <si>
    <t>Flow length thru vegetated channel, swale or filter</t>
  </si>
  <si>
    <t>vegetated area must be equal to or greater than the length of contributing impervious area</t>
  </si>
  <si>
    <t>Slope of vegetated area receiving flow</t>
  </si>
  <si>
    <r>
      <t xml:space="preserve">Average slope </t>
    </r>
    <r>
      <rPr>
        <sz val="11"/>
        <color theme="1"/>
        <rFont val="Calibri"/>
        <family val="2"/>
      </rPr>
      <t>≤</t>
    </r>
    <r>
      <rPr>
        <i/>
        <sz val="11"/>
        <color theme="1"/>
        <rFont val="Calibri"/>
        <family val="2"/>
      </rPr>
      <t>5%</t>
    </r>
  </si>
  <si>
    <t>Will overflow occur to undesignated Areas?</t>
  </si>
  <si>
    <t>This is the difference between the WQv calculated and the runoff reduction achieved in the swale</t>
  </si>
  <si>
    <t>For up to a 16-foot diameter canopy of a mature tree, the area considered for reduction shall be ½ the area of the tree canopy</t>
  </si>
  <si>
    <t>Number of Trees</t>
  </si>
  <si>
    <t>Area Reduced per Tree</t>
  </si>
  <si>
    <t>Total Area Reduced</t>
  </si>
  <si>
    <t>Cistern-Rainbarrel</t>
  </si>
  <si>
    <t>Dry Swale</t>
  </si>
  <si>
    <t>Planter</t>
  </si>
  <si>
    <t>Conservation of Natural Areas</t>
  </si>
  <si>
    <t>Surface Area Provided</t>
  </si>
  <si>
    <t>The infiltration basin must provide storage equal to or greater than the WQv of the contributing area.</t>
  </si>
  <si>
    <t>required for C or D soils.</t>
  </si>
  <si>
    <t>Has an evaluation by licensed or certified professional determined if soil enhancement &amp; spreading device needed to provide sheet flowover grass surfaces?</t>
  </si>
  <si>
    <t>Infiltration practices shall be designed to exfiltrate the entire WQv through the floor of each practice.</t>
  </si>
  <si>
    <t>90% of the storage provided in the basin or WQv whichever is smaller</t>
  </si>
  <si>
    <t>Check to be sure that channel is long enough to store WQv</t>
  </si>
  <si>
    <r>
      <t xml:space="preserve">Is Sum RRv Provided and WQv Provided  </t>
    </r>
    <r>
      <rPr>
        <sz val="11"/>
        <color theme="1"/>
        <rFont val="Calibri"/>
        <family val="2"/>
      </rPr>
      <t>≥</t>
    </r>
    <r>
      <rPr>
        <sz val="11"/>
        <color theme="1"/>
        <rFont val="Calibri"/>
        <family val="2"/>
        <scheme val="minor"/>
      </rPr>
      <t>WQv Required?</t>
    </r>
  </si>
  <si>
    <t>S</t>
  </si>
  <si>
    <t>inch</t>
  </si>
  <si>
    <t>2.5 - 4 ft</t>
  </si>
  <si>
    <t>Required Bioretention Area</t>
  </si>
  <si>
    <t>Bioretention Area Provided</t>
  </si>
  <si>
    <t>Infiltrating Bioretention Parameters</t>
  </si>
  <si>
    <t>Sum of storage Volume Provided in each layer</t>
  </si>
  <si>
    <t>This is 80% of storage volume provided or WQv whichever is less</t>
  </si>
  <si>
    <t>This is 40% of the storage provided or WQv whichever is less.</t>
  </si>
  <si>
    <t>This is the portion of the WQv that is not reduced in the practice.</t>
  </si>
  <si>
    <r>
      <t xml:space="preserve">Check to be sure Area provided </t>
    </r>
    <r>
      <rPr>
        <i/>
        <sz val="11"/>
        <color theme="1"/>
        <rFont val="Calibri"/>
        <family val="2"/>
      </rPr>
      <t>≥ Af</t>
    </r>
  </si>
  <si>
    <t>This is the portion of the WQv that is not reduced in the practice</t>
  </si>
  <si>
    <t>W</t>
  </si>
  <si>
    <t>L</t>
  </si>
  <si>
    <t>Required Pretreatment Volume</t>
  </si>
  <si>
    <t>Pretreatment Provided</t>
  </si>
  <si>
    <t>Storage Volume provided in infiltration trench (not including pretreatment.</t>
  </si>
  <si>
    <t>Required Surface Area</t>
  </si>
  <si>
    <t>Actual Pretreatment Provided</t>
  </si>
  <si>
    <t>Size the Infiltration Trench</t>
  </si>
  <si>
    <t>% WQv</t>
  </si>
  <si>
    <t>Pretreatment Required Volume</t>
  </si>
  <si>
    <t>Pretreatment Techniques utilized</t>
  </si>
  <si>
    <t>25% minimum; 
50% if &gt;2 in/hr
100% if &gt;5in/hour</t>
  </si>
  <si>
    <t>Basal Area Required</t>
  </si>
  <si>
    <t>Basal Area Provided</t>
  </si>
  <si>
    <t>Pretreatment techniques utilized</t>
  </si>
  <si>
    <t>Pretreatment can be provided in the form of a sedimentation basin, sump pit, grass channel, plunge pool or other measure</t>
  </si>
  <si>
    <t>25% minimum
50% if &gt;2 in/hr;  
100% if &gt;5in/hour</t>
  </si>
  <si>
    <t>Storage Volume Provided</t>
  </si>
  <si>
    <t>Calculate Required Surface Area</t>
  </si>
  <si>
    <t>Percent Reduction</t>
  </si>
  <si>
    <t>Depth to Groundwater</t>
  </si>
  <si>
    <t>Bottom of Dry Well &gt;3 feet from seasonally high groundwater</t>
  </si>
  <si>
    <t>Pretreatment techniques Utilized</t>
  </si>
  <si>
    <t>&gt;3 feet from seasonally high water table</t>
  </si>
  <si>
    <t>maximum of four feet</t>
  </si>
  <si>
    <t>Required Cistern Storage Volume</t>
  </si>
  <si>
    <t>Actual Cistern Storage Volume</t>
  </si>
  <si>
    <t>Area per Unit</t>
  </si>
  <si>
    <t>Number of Units Required</t>
  </si>
  <si>
    <t>Number of Units Specified</t>
  </si>
  <si>
    <t>8 ft diameter prevfabricated Dry Wells</t>
  </si>
  <si>
    <t>Maximum of 4 feet</t>
  </si>
  <si>
    <t>Provide the dimensions here</t>
  </si>
  <si>
    <t>RRv Applied</t>
  </si>
  <si>
    <t>Treatment Volume</t>
  </si>
  <si>
    <t>Water Use Plan?</t>
  </si>
  <si>
    <t>af</t>
  </si>
  <si>
    <t>33a</t>
  </si>
  <si>
    <t>Reported Value</t>
  </si>
  <si>
    <t>Area Provided</t>
  </si>
  <si>
    <t>Dimensions of pavement can be provided here</t>
  </si>
  <si>
    <t>Required Length</t>
  </si>
  <si>
    <t>Flow Depth</t>
  </si>
  <si>
    <t>Channel Height</t>
  </si>
  <si>
    <t>Length Provided</t>
  </si>
  <si>
    <t>Green Roof (Ext)</t>
  </si>
  <si>
    <t>Green Roof (Intensive)</t>
  </si>
  <si>
    <t>Riparian Buffer</t>
  </si>
  <si>
    <t>Initial WQv</t>
  </si>
  <si>
    <t>WQv adjusted after Area Reductions</t>
  </si>
  <si>
    <t>Adjusted WQv after Area Reduction and Rooftop Disconnect</t>
  </si>
  <si>
    <t>Bioretention &amp; Infiltration Bioretention</t>
  </si>
  <si>
    <t>Green Roof (Intensive &amp; Extensive)</t>
  </si>
  <si>
    <t>Considered &amp; Applied</t>
  </si>
  <si>
    <t>Considered &amp; Not Applied</t>
  </si>
  <si>
    <t>N/A</t>
  </si>
  <si>
    <t>Catchment Number</t>
  </si>
  <si>
    <t>Sedimentation Basin</t>
  </si>
  <si>
    <t>Sump Pit</t>
  </si>
  <si>
    <t>Grass Channel</t>
  </si>
  <si>
    <t>Other</t>
  </si>
  <si>
    <t>Modified CN</t>
  </si>
  <si>
    <t>Note: Value is modified curve number using Appendix B.2 - Water Quality Peak Flow Calculation of the New York State Stormwater Management Design Manual</t>
  </si>
  <si>
    <t>Note: Tc is a direct entry using the flow path for the catchment draining to the practice</t>
  </si>
  <si>
    <t>Note: qu value is taken from TR-55 (either Exhibit 4-II (Type II Rainfall Distribution) or Exhibit 4-III (Type III Rainfall Distribution) depending on the location in the State</t>
  </si>
  <si>
    <t>Diameter of Mature Canopy</t>
  </si>
  <si>
    <t>Total Area  √</t>
  </si>
  <si>
    <t>Soil Inflitration Rate</t>
  </si>
  <si>
    <t>Enter Soil Infiltration Rate</t>
  </si>
  <si>
    <t>Using Underdrains</t>
  </si>
  <si>
    <t>Soil Infiltration Rate</t>
  </si>
  <si>
    <t>(For use on HSG C or D Soils with underdrains)</t>
  </si>
  <si>
    <t>Soil Information</t>
  </si>
  <si>
    <t>Using Underdrains?</t>
  </si>
  <si>
    <t>WQv ≤ VSM + VDL + (DP x ARG) √</t>
  </si>
  <si>
    <t>Modified C</t>
  </si>
  <si>
    <t>Modified D</t>
  </si>
  <si>
    <t>Volume</t>
  </si>
  <si>
    <t>Total RRv Applied</t>
  </si>
  <si>
    <t>Total Applied RRV</t>
  </si>
  <si>
    <t>Total RRV</t>
  </si>
  <si>
    <t>Total RRV Applied</t>
  </si>
  <si>
    <t>Total Subtracted from Total Area</t>
  </si>
  <si>
    <t>Total Subtracted from Total Impervious Area</t>
  </si>
  <si>
    <t>Total Impervious Area</t>
  </si>
  <si>
    <t>"&lt;&lt;Initial WQv"</t>
  </si>
  <si>
    <t>Riparian Buffers</t>
  </si>
  <si>
    <t>(For use on HSG A or B Soils without underdrains)</t>
  </si>
  <si>
    <t>in/hr</t>
  </si>
  <si>
    <t>Number of Cisterns Proposed</t>
  </si>
  <si>
    <t>Volume per Unit</t>
  </si>
  <si>
    <t>Enter number of Rain Gardens</t>
  </si>
  <si>
    <t>Enter area of each Rain Garden</t>
  </si>
  <si>
    <r>
      <t>ft</t>
    </r>
    <r>
      <rPr>
        <i/>
        <vertAlign val="superscript"/>
        <sz val="10"/>
        <color theme="1"/>
        <rFont val="Calibri"/>
        <family val="2"/>
        <scheme val="minor"/>
      </rPr>
      <t>2</t>
    </r>
  </si>
  <si>
    <t>Swale Length</t>
  </si>
  <si>
    <t>required If area to downspout &gt;500 sf</t>
  </si>
  <si>
    <t>Contributing Area of Rooftop to Downspout</t>
  </si>
  <si>
    <t>Are All Criteria in Section 5.3.5  met?</t>
  </si>
  <si>
    <t>Are All Criteria in Section 5.3.4 met?</t>
  </si>
  <si>
    <t>Are All Criteria in Section 5.3.1 Met?</t>
  </si>
  <si>
    <t>Are All Criteria for Riparian Buffers in Section 5.3.2 met?</t>
  </si>
  <si>
    <t>Are All Criteria for Filter Strips in Section 5.3.2 met?</t>
  </si>
  <si>
    <t>Are All Criteria for filter strips in Section 5.3.2 met?</t>
  </si>
  <si>
    <t>Are All Criteria in Section 5.3.2 (filter strips) met?</t>
  </si>
  <si>
    <t>Are All Criteria in Section 5.3.2 (fitler strips) met?</t>
  </si>
  <si>
    <t>Plunge Pool</t>
  </si>
  <si>
    <t>Pretreatment Technique</t>
  </si>
  <si>
    <t>Portion of WQv not reduced that must be directed to a standard SMP</t>
  </si>
  <si>
    <t xml:space="preserve">Enter the portion of the WQv that is not reduced for all practices routed to this practice.
</t>
  </si>
  <si>
    <t>Enter the portion of the WQv that is not reduced for all practices routed to this practice.</t>
  </si>
  <si>
    <t>6 inches max.</t>
  </si>
  <si>
    <t>This volume is directed another practice</t>
  </si>
  <si>
    <t>Enter Impervious Area Reduced by Disconnection of Rooftops</t>
  </si>
  <si>
    <t>&lt;&lt;WQv after adjusting for Disconnected Rooftops</t>
  </si>
  <si>
    <t>(in)</t>
  </si>
  <si>
    <t>A maximum depth of 18" at the end point of the channel (for storage of the WQv)</t>
  </si>
  <si>
    <t>Rooftop Disconnect Impervious Area Total</t>
  </si>
  <si>
    <r>
      <t>ft</t>
    </r>
    <r>
      <rPr>
        <b/>
        <vertAlign val="superscript"/>
        <sz val="11"/>
        <color theme="1"/>
        <rFont val="Calibri"/>
        <family val="2"/>
        <scheme val="minor"/>
      </rPr>
      <t>3</t>
    </r>
  </si>
  <si>
    <r>
      <t>Water Quality Volume (ft</t>
    </r>
    <r>
      <rPr>
        <vertAlign val="superscript"/>
        <sz val="11"/>
        <color theme="1"/>
        <rFont val="Calibri"/>
        <family val="2"/>
        <scheme val="minor"/>
      </rPr>
      <t>3</t>
    </r>
    <r>
      <rPr>
        <sz val="11"/>
        <color theme="1"/>
        <rFont val="Calibri"/>
        <family val="2"/>
        <scheme val="minor"/>
      </rPr>
      <t>)</t>
    </r>
  </si>
  <si>
    <t>Flow Through Planter?</t>
  </si>
  <si>
    <r>
      <rPr>
        <b/>
        <i/>
        <sz val="10"/>
        <color theme="1"/>
        <rFont val="Calibri"/>
        <family val="2"/>
        <scheme val="minor"/>
      </rPr>
      <t>Sand</t>
    </r>
    <r>
      <rPr>
        <sz val="10"/>
        <color theme="1"/>
        <rFont val="Calibri"/>
        <family val="2"/>
        <scheme val="minor"/>
      </rPr>
      <t xml:space="preserve"> - 3.5 ft/day (City of Austin 1988); </t>
    </r>
    <r>
      <rPr>
        <b/>
        <i/>
        <sz val="10"/>
        <color theme="1"/>
        <rFont val="Calibri"/>
        <family val="2"/>
        <scheme val="minor"/>
      </rPr>
      <t>Peat</t>
    </r>
    <r>
      <rPr>
        <b/>
        <sz val="10"/>
        <color theme="1"/>
        <rFont val="Calibri"/>
        <family val="2"/>
        <scheme val="minor"/>
      </rPr>
      <t xml:space="preserve"> </t>
    </r>
    <r>
      <rPr>
        <sz val="10"/>
        <color theme="1"/>
        <rFont val="Calibri"/>
        <family val="2"/>
        <scheme val="minor"/>
      </rPr>
      <t xml:space="preserve">- 2.0 ft/day (Galli 1990); </t>
    </r>
    <r>
      <rPr>
        <b/>
        <i/>
        <sz val="10"/>
        <color theme="1"/>
        <rFont val="Calibri"/>
        <family val="2"/>
        <scheme val="minor"/>
      </rPr>
      <t>Leaf Compost</t>
    </r>
    <r>
      <rPr>
        <sz val="10"/>
        <color theme="1"/>
        <rFont val="Calibri"/>
        <family val="2"/>
        <scheme val="minor"/>
      </rPr>
      <t xml:space="preserve"> - 8.7 ft/day (Claytor and Schueler, 1996); </t>
    </r>
    <r>
      <rPr>
        <b/>
        <i/>
        <sz val="10"/>
        <color theme="1"/>
        <rFont val="Calibri"/>
        <family val="2"/>
        <scheme val="minor"/>
      </rPr>
      <t>Bioretention Soil</t>
    </r>
  </si>
  <si>
    <t>Infiltration Bioretention</t>
  </si>
  <si>
    <t>Is the Dry Swale contributing flow to another practice?</t>
  </si>
  <si>
    <t>Select Practice</t>
  </si>
  <si>
    <t>1 to 1.50</t>
  </si>
  <si>
    <t>≥ 0.50 ft</t>
  </si>
  <si>
    <t>≤ 0.50</t>
  </si>
  <si>
    <t>Acres from Total Area</t>
  </si>
  <si>
    <t>Acres from Total Impervious Area</t>
  </si>
  <si>
    <t>Acres from total Area</t>
  </si>
  <si>
    <t>Acres from total Impervious Area</t>
  </si>
  <si>
    <t xml:space="preserve">Volume Directed </t>
  </si>
  <si>
    <t>Determine Required Length Of Channel</t>
  </si>
  <si>
    <t>Are you using underdrains?</t>
  </si>
  <si>
    <t>Calculated Swale Dimensions</t>
  </si>
  <si>
    <t>Is the Vegetated Swale contributing flow to another practice?</t>
  </si>
  <si>
    <t>Other/Standard SMP</t>
  </si>
  <si>
    <t>Specify how sheet flow will be ensured</t>
  </si>
  <si>
    <t>Enter depth of Soil Media</t>
  </si>
  <si>
    <t>Is the Bioretention contributing flow to another practice?</t>
  </si>
  <si>
    <r>
      <t xml:space="preserve">Sizing </t>
    </r>
    <r>
      <rPr>
        <sz val="10"/>
        <color theme="1"/>
        <rFont val="Calibri"/>
        <family val="2"/>
      </rPr>
      <t>√</t>
    </r>
  </si>
  <si>
    <r>
      <t xml:space="preserve">Check to be sure Area provided </t>
    </r>
    <r>
      <rPr>
        <i/>
        <sz val="10"/>
        <color theme="1"/>
        <rFont val="Calibri"/>
        <family val="2"/>
      </rPr>
      <t>≥ Af</t>
    </r>
  </si>
  <si>
    <r>
      <t>ft</t>
    </r>
    <r>
      <rPr>
        <vertAlign val="superscript"/>
        <sz val="11"/>
        <color theme="1"/>
        <rFont val="Calibri"/>
        <family val="2"/>
        <scheme val="minor"/>
      </rPr>
      <t>3</t>
    </r>
  </si>
  <si>
    <r>
      <t xml:space="preserve">The hydraulic conductivity [ft/day],  can be varied depending on the properties of the soil media. Some reported conductivity values are:  </t>
    </r>
    <r>
      <rPr>
        <b/>
        <i/>
        <sz val="9"/>
        <color theme="1"/>
        <rFont val="Calibri"/>
        <family val="2"/>
        <scheme val="minor"/>
      </rPr>
      <t>Sand</t>
    </r>
    <r>
      <rPr>
        <sz val="9"/>
        <color theme="1"/>
        <rFont val="Calibri"/>
        <family val="2"/>
        <scheme val="minor"/>
      </rPr>
      <t xml:space="preserve"> - 3.5 ft/day (City of Austin 1988); </t>
    </r>
    <r>
      <rPr>
        <b/>
        <i/>
        <sz val="9"/>
        <color theme="1"/>
        <rFont val="Calibri"/>
        <family val="2"/>
        <scheme val="minor"/>
      </rPr>
      <t>Peat</t>
    </r>
    <r>
      <rPr>
        <sz val="9"/>
        <color theme="1"/>
        <rFont val="Calibri"/>
        <family val="2"/>
        <scheme val="minor"/>
      </rPr>
      <t xml:space="preserve"> - 2.0 ft/day (Galli 1990); </t>
    </r>
    <r>
      <rPr>
        <b/>
        <i/>
        <sz val="9"/>
        <color theme="1"/>
        <rFont val="Calibri"/>
        <family val="2"/>
        <scheme val="minor"/>
      </rPr>
      <t>Leaf Compost</t>
    </r>
    <r>
      <rPr>
        <sz val="9"/>
        <color theme="1"/>
        <rFont val="Calibri"/>
        <family val="2"/>
        <scheme val="minor"/>
      </rPr>
      <t xml:space="preserve"> - 8.7 ft/day (Claytor and Schueler, 1996); </t>
    </r>
    <r>
      <rPr>
        <b/>
        <i/>
        <sz val="9"/>
        <color theme="1"/>
        <rFont val="Calibri"/>
        <family val="2"/>
        <scheme val="minor"/>
      </rPr>
      <t>Bioretention Soil</t>
    </r>
    <r>
      <rPr>
        <sz val="9"/>
        <color theme="1"/>
        <rFont val="Calibri"/>
        <family val="2"/>
        <scheme val="minor"/>
      </rPr>
      <t xml:space="preserve"> (0.5 ft/day  (Claytor &amp; Schueler, 1996)</t>
    </r>
  </si>
  <si>
    <t>Acres from the Total Impervious Area of Sub-catchment Number</t>
  </si>
  <si>
    <t>≥20%, enter as a decimal</t>
  </si>
  <si>
    <t>≥ 40%, enter as a decimal</t>
  </si>
  <si>
    <t>Native Soil Infiltration Rate</t>
  </si>
  <si>
    <t>Area Ratio: Total to Impervious area</t>
  </si>
  <si>
    <t>WQv reduced by Area Reduction techniques</t>
  </si>
  <si>
    <t>Area/Volume Reduction</t>
  </si>
  <si>
    <t>Total Water Quality Volume (WQv) Required</t>
  </si>
  <si>
    <t>Total RRV Provided</t>
  </si>
  <si>
    <t>Total WQv Treated</t>
  </si>
  <si>
    <t>Totals by Area Reduction</t>
  </si>
  <si>
    <t>Totals by Volume Reduction</t>
  </si>
  <si>
    <t>Totals by Standard SMP w/RRV</t>
  </si>
  <si>
    <t>Totals by Standard SMP</t>
  </si>
  <si>
    <t>→</t>
  </si>
  <si>
    <t>Totals ( Area + Volume + all SMPs)</t>
  </si>
  <si>
    <t>Additional Subcatchments</t>
  </si>
  <si>
    <t>Subtotal</t>
  </si>
  <si>
    <t>Subtotal 1</t>
  </si>
  <si>
    <t>Design Point:</t>
  </si>
  <si>
    <t>Is this project subject to Chapter 10 of the NYS Design Manual (i.e. WQv is equal to post-development 1 year runoff volume)?......................................................................................</t>
  </si>
  <si>
    <t>Do you intend to use this practice for area reduction or volume reduction?</t>
  </si>
  <si>
    <t>All Subcatchments</t>
  </si>
  <si>
    <t>Errata</t>
  </si>
  <si>
    <t>Date</t>
  </si>
  <si>
    <t>Worksheet</t>
  </si>
  <si>
    <t>Runnoff Reduction equals 40% in HSG A and B and 20% in HSG C and D up to the WQv</t>
  </si>
  <si>
    <t>where:</t>
  </si>
  <si>
    <t>Parameter</t>
  </si>
  <si>
    <r>
      <t xml:space="preserve">Total Area
</t>
    </r>
    <r>
      <rPr>
        <i/>
        <sz val="11"/>
        <color theme="1"/>
        <rFont val="Calibri"/>
        <family val="2"/>
        <scheme val="minor"/>
      </rPr>
      <t>(Acres)</t>
    </r>
  </si>
  <si>
    <r>
      <t xml:space="preserve">Impervious Area
</t>
    </r>
    <r>
      <rPr>
        <i/>
        <sz val="10.5"/>
        <color theme="1"/>
        <rFont val="Calibri"/>
        <family val="2"/>
        <scheme val="minor"/>
      </rPr>
      <t>(Acres)</t>
    </r>
  </si>
  <si>
    <r>
      <t xml:space="preserve">Percent Impervious
</t>
    </r>
    <r>
      <rPr>
        <i/>
        <sz val="11"/>
        <color theme="1"/>
        <rFont val="Calibri"/>
        <family val="2"/>
        <scheme val="minor"/>
      </rPr>
      <t>%</t>
    </r>
  </si>
  <si>
    <r>
      <t xml:space="preserve">WQv
</t>
    </r>
    <r>
      <rPr>
        <i/>
        <sz val="11"/>
        <color theme="1"/>
        <rFont val="Calibri"/>
        <family val="2"/>
        <scheme val="minor"/>
      </rPr>
      <t>(ft</t>
    </r>
    <r>
      <rPr>
        <i/>
        <vertAlign val="superscript"/>
        <sz val="11"/>
        <color theme="1"/>
        <rFont val="Calibri"/>
        <family val="2"/>
        <scheme val="minor"/>
      </rPr>
      <t>3</t>
    </r>
    <r>
      <rPr>
        <i/>
        <sz val="11"/>
        <color theme="1"/>
        <rFont val="Calibri"/>
        <family val="2"/>
        <scheme val="minor"/>
      </rPr>
      <t>)</t>
    </r>
  </si>
  <si>
    <r>
      <t xml:space="preserve">Precipitation
</t>
    </r>
    <r>
      <rPr>
        <i/>
        <sz val="11"/>
        <color theme="1"/>
        <rFont val="Calibri"/>
        <family val="2"/>
        <scheme val="minor"/>
      </rPr>
      <t>(in)</t>
    </r>
  </si>
  <si>
    <r>
      <t xml:space="preserve">Impervious Area To Be Disconnected
</t>
    </r>
    <r>
      <rPr>
        <i/>
        <sz val="11"/>
        <color theme="1"/>
        <rFont val="Calibri"/>
        <family val="2"/>
        <scheme val="minor"/>
      </rPr>
      <t>(Acres)</t>
    </r>
  </si>
  <si>
    <t>Subtotal (1-30)</t>
  </si>
  <si>
    <t>Storage Volume provided in infiltration trench not including pretreatment.</t>
  </si>
  <si>
    <t>Runoff Coefficient
Rv</t>
  </si>
  <si>
    <t>Summary Tab</t>
  </si>
  <si>
    <t>Unlocked Standard SMPs to allow the user to input contributing area, contributing impervious area, and WQv provided.  Although this workbook is designed as a tool for GI practices, these fields will allow the user to account for the standard SMPs when filling out the NOI.</t>
  </si>
  <si>
    <t>Total Wqv Calculation (major change)</t>
  </si>
  <si>
    <t>Fixed formula in cell F13</t>
  </si>
  <si>
    <t>Fixed formula in cells C25 and C26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</si>
</sst>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0"/>
    <numFmt numFmtId="166" formatCode="0.0"/>
    <numFmt numFmtId="167" formatCode="0.0%"/>
  </numFmts>
  <fonts count="52" x14ac:knownFonts="1">
    <font>
      <sz val="11"/>
      <color theme="1"/>
      <name val="Calibri"/>
      <family val="2"/>
      <scheme val="minor"/>
    </font>
    <font>
      <b/>
      <sz val="12"/>
      <color theme="1"/>
      <name val="Calibri"/>
      <family val="2"/>
      <scheme val="minor"/>
    </font>
    <font>
      <sz val="11"/>
      <color theme="1"/>
      <name val="Times New Roman"/>
      <family val="1"/>
    </font>
    <font>
      <sz val="11"/>
      <color rgb="FF000000"/>
      <name val="Times New Roman"/>
      <family val="1"/>
    </font>
    <font>
      <sz val="11"/>
      <color theme="1"/>
      <name val="Calibri"/>
      <family val="2"/>
      <scheme val="minor"/>
    </font>
    <font>
      <b/>
      <sz val="11"/>
      <color theme="1"/>
      <name val="Calibri"/>
      <family val="2"/>
      <scheme val="minor"/>
    </font>
    <font>
      <vertAlign val="superscript"/>
      <sz val="11"/>
      <color theme="1"/>
      <name val="Calibri"/>
      <family val="2"/>
      <scheme val="minor"/>
    </font>
    <font>
      <u/>
      <sz val="11"/>
      <color theme="1"/>
      <name val="Calibri"/>
      <family val="2"/>
      <scheme val="minor"/>
    </font>
    <font>
      <i/>
      <sz val="10"/>
      <color theme="1"/>
      <name val="Calibri"/>
      <family val="2"/>
      <scheme val="minor"/>
    </font>
    <font>
      <sz val="11"/>
      <color theme="1"/>
      <name val="Calibri"/>
      <family val="2"/>
    </font>
    <font>
      <i/>
      <sz val="11"/>
      <color theme="1"/>
      <name val="Calibri"/>
      <family val="2"/>
      <scheme val="minor"/>
    </font>
    <font>
      <sz val="11"/>
      <name val="Calibri"/>
      <family val="2"/>
      <scheme val="minor"/>
    </font>
    <font>
      <i/>
      <vertAlign val="superscript"/>
      <sz val="11"/>
      <color theme="1"/>
      <name val="Calibri"/>
      <family val="2"/>
      <scheme val="minor"/>
    </font>
    <font>
      <b/>
      <i/>
      <sz val="11"/>
      <color theme="1"/>
      <name val="Calibri"/>
      <family val="2"/>
      <scheme val="minor"/>
    </font>
    <font>
      <b/>
      <i/>
      <vertAlign val="superscript"/>
      <sz val="11"/>
      <color theme="1"/>
      <name val="Calibri"/>
      <family val="2"/>
      <scheme val="minor"/>
    </font>
    <font>
      <sz val="14"/>
      <color theme="1"/>
      <name val="Calibri"/>
      <family val="2"/>
      <scheme val="minor"/>
    </font>
    <font>
      <b/>
      <sz val="10"/>
      <color theme="1"/>
      <name val="Calibri"/>
      <family val="2"/>
      <scheme val="minor"/>
    </font>
    <font>
      <sz val="11"/>
      <color rgb="FF000000"/>
      <name val="Calibri"/>
      <family val="2"/>
      <scheme val="minor"/>
    </font>
    <font>
      <sz val="11"/>
      <color rgb="FFFF0000"/>
      <name val="Calibri"/>
      <family val="2"/>
      <scheme val="minor"/>
    </font>
    <font>
      <i/>
      <sz val="11"/>
      <color rgb="FFFF0000"/>
      <name val="Calibri"/>
      <family val="2"/>
      <scheme val="minor"/>
    </font>
    <font>
      <i/>
      <sz val="11"/>
      <color theme="1"/>
      <name val="Calibri"/>
      <family val="2"/>
    </font>
    <font>
      <b/>
      <i/>
      <u/>
      <sz val="11"/>
      <color rgb="FF00B050"/>
      <name val="Calibri"/>
      <family val="2"/>
      <scheme val="minor"/>
    </font>
    <font>
      <i/>
      <sz val="11"/>
      <name val="Calibri"/>
      <family val="2"/>
      <scheme val="minor"/>
    </font>
    <font>
      <sz val="10"/>
      <color theme="1"/>
      <name val="Calibri"/>
      <family val="2"/>
      <scheme val="minor"/>
    </font>
    <font>
      <sz val="11"/>
      <color theme="3" tint="0.59999389629810485"/>
      <name val="Calibri"/>
      <family val="2"/>
      <scheme val="minor"/>
    </font>
    <font>
      <b/>
      <i/>
      <sz val="11"/>
      <color theme="1"/>
      <name val="Times New Roman"/>
      <family val="1"/>
    </font>
    <font>
      <sz val="8"/>
      <color theme="1"/>
      <name val="Calibri"/>
      <family val="2"/>
      <scheme val="minor"/>
    </font>
    <font>
      <sz val="14"/>
      <name val="Calibri"/>
      <family val="2"/>
      <scheme val="minor"/>
    </font>
    <font>
      <i/>
      <sz val="9"/>
      <color theme="1"/>
      <name val="Calibri"/>
      <family val="2"/>
      <scheme val="minor"/>
    </font>
    <font>
      <sz val="9"/>
      <color theme="1"/>
      <name val="Calibri"/>
      <family val="2"/>
      <scheme val="minor"/>
    </font>
    <font>
      <i/>
      <sz val="10"/>
      <color rgb="FFFF0000"/>
      <name val="Calibri"/>
      <family val="2"/>
      <scheme val="minor"/>
    </font>
    <font>
      <i/>
      <vertAlign val="superscript"/>
      <sz val="10"/>
      <color theme="1"/>
      <name val="Calibri"/>
      <family val="2"/>
      <scheme val="minor"/>
    </font>
    <font>
      <b/>
      <sz val="10.5"/>
      <color theme="1"/>
      <name val="Calibri"/>
      <family val="2"/>
      <scheme val="minor"/>
    </font>
    <font>
      <sz val="10.5"/>
      <color theme="1"/>
      <name val="Calibri"/>
      <family val="2"/>
      <scheme val="minor"/>
    </font>
    <font>
      <b/>
      <sz val="11"/>
      <name val="Calibri"/>
      <family val="2"/>
      <scheme val="minor"/>
    </font>
    <font>
      <b/>
      <i/>
      <sz val="10"/>
      <color theme="1"/>
      <name val="Calibri"/>
      <family val="2"/>
      <scheme val="minor"/>
    </font>
    <font>
      <i/>
      <sz val="10"/>
      <name val="Calibri"/>
      <family val="2"/>
      <scheme val="minor"/>
    </font>
    <font>
      <b/>
      <vertAlign val="superscript"/>
      <sz val="11"/>
      <color theme="1"/>
      <name val="Calibri"/>
      <family val="2"/>
      <scheme val="minor"/>
    </font>
    <font>
      <b/>
      <i/>
      <sz val="11"/>
      <name val="Calibri"/>
      <family val="2"/>
      <scheme val="minor"/>
    </font>
    <font>
      <b/>
      <sz val="11"/>
      <color theme="1"/>
      <name val="Times New Roman"/>
      <family val="1"/>
    </font>
    <font>
      <sz val="10.5"/>
      <name val="Calibri"/>
      <family val="2"/>
      <scheme val="minor"/>
    </font>
    <font>
      <sz val="10"/>
      <color theme="1"/>
      <name val="Calibri"/>
      <family val="2"/>
    </font>
    <font>
      <i/>
      <sz val="10"/>
      <color theme="1"/>
      <name val="Calibri"/>
      <family val="2"/>
    </font>
    <font>
      <sz val="10"/>
      <name val="Calibri"/>
      <family val="2"/>
      <scheme val="minor"/>
    </font>
    <font>
      <sz val="10"/>
      <color rgb="FFFF0000"/>
      <name val="Calibri"/>
      <family val="2"/>
      <scheme val="minor"/>
    </font>
    <font>
      <sz val="6"/>
      <color theme="1"/>
      <name val="Calibri"/>
      <family val="2"/>
      <scheme val="minor"/>
    </font>
    <font>
      <b/>
      <i/>
      <sz val="9"/>
      <color theme="1"/>
      <name val="Calibri"/>
      <family val="2"/>
      <scheme val="minor"/>
    </font>
    <font>
      <sz val="14"/>
      <color theme="1"/>
      <name val="Calibri"/>
      <family val="2"/>
    </font>
    <font>
      <sz val="10"/>
      <color theme="1"/>
      <name val="Tahoma"/>
      <family val="2"/>
    </font>
    <font>
      <b/>
      <sz val="12"/>
      <color indexed="39"/>
      <name val="Arial"/>
      <family val="2"/>
    </font>
    <font>
      <b/>
      <sz val="9"/>
      <color theme="1"/>
      <name val="Calibri"/>
      <family val="2"/>
      <scheme val="minor"/>
    </font>
    <font>
      <i/>
      <sz val="10.5"/>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B6FDA3"/>
        <bgColor indexed="64"/>
      </patternFill>
    </fill>
    <fill>
      <patternFill patternType="solid">
        <fgColor theme="1" tint="0.499984740745262"/>
        <bgColor indexed="64"/>
      </patternFill>
    </fill>
    <fill>
      <patternFill patternType="solid">
        <fgColor theme="3" tint="0.79995117038483843"/>
        <bgColor indexed="64"/>
      </patternFill>
    </fill>
    <fill>
      <patternFill patternType="solid">
        <fgColor theme="0" tint="-0.14996795556505021"/>
        <bgColor indexed="64"/>
      </patternFill>
    </fill>
    <fill>
      <patternFill patternType="solid">
        <fgColor theme="3" tint="0.59996337778862885"/>
        <bgColor indexed="64"/>
      </patternFill>
    </fill>
  </fills>
  <borders count="44">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theme="0"/>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left>
      <right/>
      <top/>
      <bottom/>
      <diagonal/>
    </border>
    <border>
      <left/>
      <right style="thin">
        <color theme="0"/>
      </right>
      <top/>
      <bottom/>
      <diagonal/>
    </border>
  </borders>
  <cellStyleXfs count="2">
    <xf numFmtId="0" fontId="0" fillId="0" borderId="0"/>
    <xf numFmtId="9" fontId="4" fillId="0" borderId="0" applyFont="0" applyFill="0" applyBorder="0" applyAlignment="0" applyProtection="0"/>
  </cellStyleXfs>
  <cellXfs count="1097">
    <xf numFmtId="0" fontId="0" fillId="0" borderId="0" xfId="0"/>
    <xf numFmtId="0" fontId="0" fillId="0" borderId="0" xfId="0" applyFill="1" applyBorder="1" applyAlignment="1">
      <alignment wrapText="1"/>
    </xf>
    <xf numFmtId="0" fontId="5" fillId="0" borderId="0" xfId="0" applyFont="1" applyBorder="1" applyAlignment="1" applyProtection="1">
      <alignment wrapText="1"/>
    </xf>
    <xf numFmtId="0" fontId="0" fillId="2" borderId="0" xfId="0" applyFill="1" applyBorder="1" applyAlignment="1">
      <alignment wrapText="1"/>
    </xf>
    <xf numFmtId="0" fontId="0" fillId="0" borderId="0" xfId="0" applyBorder="1" applyAlignment="1">
      <alignment wrapText="1"/>
    </xf>
    <xf numFmtId="0" fontId="0" fillId="0" borderId="0" xfId="0" applyBorder="1" applyAlignment="1" applyProtection="1">
      <alignment wrapText="1"/>
    </xf>
    <xf numFmtId="165" fontId="0" fillId="0" borderId="0" xfId="0" applyNumberFormat="1" applyBorder="1" applyAlignment="1">
      <alignment horizontal="center" wrapText="1"/>
    </xf>
    <xf numFmtId="165" fontId="0" fillId="0" borderId="0" xfId="0" applyNumberFormat="1" applyBorder="1" applyAlignment="1">
      <alignment wrapText="1"/>
    </xf>
    <xf numFmtId="165" fontId="0" fillId="0" borderId="0" xfId="0" applyNumberFormat="1" applyFill="1" applyBorder="1" applyAlignment="1">
      <alignment horizontal="center" wrapText="1"/>
    </xf>
    <xf numFmtId="165" fontId="0" fillId="8" borderId="0" xfId="0" applyNumberFormat="1" applyFill="1" applyBorder="1" applyAlignment="1">
      <alignment horizontal="center" vertical="center" wrapText="1"/>
    </xf>
    <xf numFmtId="0" fontId="0" fillId="0" borderId="0" xfId="0" applyFill="1" applyBorder="1" applyAlignment="1">
      <alignment horizontal="center" vertical="center" wrapText="1"/>
    </xf>
    <xf numFmtId="165" fontId="0" fillId="0" borderId="0" xfId="0" applyNumberFormat="1" applyFill="1" applyBorder="1" applyAlignment="1">
      <alignment wrapText="1"/>
    </xf>
    <xf numFmtId="0" fontId="0" fillId="0" borderId="0" xfId="0" applyFill="1" applyBorder="1" applyAlignment="1">
      <alignment vertical="center" wrapText="1"/>
    </xf>
    <xf numFmtId="0" fontId="1" fillId="2" borderId="0" xfId="0" applyFont="1" applyFill="1" applyBorder="1" applyAlignment="1">
      <alignment wrapText="1"/>
    </xf>
    <xf numFmtId="0" fontId="0" fillId="0" borderId="0" xfId="0" applyBorder="1" applyAlignment="1" applyProtection="1">
      <alignment wrapText="1"/>
    </xf>
    <xf numFmtId="1" fontId="0" fillId="0" borderId="0" xfId="0" applyNumberFormat="1" applyBorder="1" applyAlignment="1">
      <alignment wrapText="1"/>
    </xf>
    <xf numFmtId="0" fontId="0" fillId="0" borderId="0" xfId="0" applyBorder="1" applyAlignment="1" applyProtection="1">
      <alignment wrapText="1"/>
    </xf>
    <xf numFmtId="0" fontId="0" fillId="0" borderId="0" xfId="0" applyAlignment="1">
      <alignment wrapText="1"/>
    </xf>
    <xf numFmtId="0" fontId="0" fillId="4" borderId="1" xfId="0" applyFill="1" applyBorder="1" applyAlignment="1" applyProtection="1">
      <alignment horizontal="center" wrapText="1"/>
      <protection locked="0"/>
    </xf>
    <xf numFmtId="0" fontId="0"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9" fontId="0" fillId="0" borderId="0" xfId="1" applyFont="1" applyBorder="1" applyAlignment="1" applyProtection="1">
      <alignment horizontal="center" vertical="center" wrapText="1"/>
    </xf>
    <xf numFmtId="0" fontId="10" fillId="0" borderId="11" xfId="0" applyFont="1" applyBorder="1" applyAlignment="1" applyProtection="1">
      <alignment horizontal="center" wrapText="1"/>
    </xf>
    <xf numFmtId="1" fontId="0" fillId="0" borderId="0" xfId="0" applyNumberFormat="1" applyBorder="1" applyAlignment="1" applyProtection="1">
      <alignment horizontal="center" vertical="center" wrapText="1"/>
    </xf>
    <xf numFmtId="0" fontId="0" fillId="3" borderId="12" xfId="0" applyFont="1" applyFill="1" applyBorder="1" applyAlignment="1" applyProtection="1">
      <alignment horizontal="center" vertical="center" wrapText="1"/>
    </xf>
    <xf numFmtId="0" fontId="0" fillId="3" borderId="13"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9" fontId="0" fillId="2" borderId="2" xfId="1" applyFont="1" applyFill="1" applyBorder="1" applyAlignment="1" applyProtection="1">
      <alignment horizontal="center" vertical="center" wrapText="1"/>
    </xf>
    <xf numFmtId="2" fontId="0" fillId="2" borderId="2" xfId="0" applyNumberFormat="1" applyFill="1" applyBorder="1" applyAlignment="1" applyProtection="1">
      <alignment horizontal="center" vertical="center" wrapText="1"/>
    </xf>
    <xf numFmtId="1" fontId="0" fillId="2" borderId="2" xfId="0" applyNumberForma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0" borderId="0" xfId="0" applyBorder="1" applyAlignment="1" applyProtection="1">
      <alignment wrapText="1"/>
    </xf>
    <xf numFmtId="0" fontId="0" fillId="0" borderId="0" xfId="0" applyFill="1" applyBorder="1" applyAlignment="1">
      <alignment horizontal="center" wrapText="1"/>
    </xf>
    <xf numFmtId="0" fontId="0" fillId="8" borderId="8" xfId="0" applyFill="1" applyBorder="1" applyAlignment="1" applyProtection="1">
      <alignment horizontal="center" vertical="center" wrapText="1"/>
    </xf>
    <xf numFmtId="0" fontId="0" fillId="8" borderId="13" xfId="0" applyFill="1" applyBorder="1" applyAlignment="1" applyProtection="1">
      <alignment horizontal="center" vertical="center" wrapText="1"/>
    </xf>
    <xf numFmtId="164" fontId="0" fillId="8" borderId="13" xfId="0" applyNumberFormat="1" applyFill="1" applyBorder="1" applyAlignment="1" applyProtection="1">
      <alignment horizontal="center" vertical="center" wrapText="1"/>
    </xf>
    <xf numFmtId="164" fontId="0" fillId="8" borderId="10" xfId="0" applyNumberFormat="1" applyFill="1" applyBorder="1" applyAlignment="1" applyProtection="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165" fontId="0" fillId="8" borderId="7" xfId="0" applyNumberFormat="1" applyFill="1" applyBorder="1" applyAlignment="1">
      <alignment horizontal="center" vertical="center" wrapText="1"/>
    </xf>
    <xf numFmtId="0" fontId="16" fillId="0" borderId="14" xfId="0" applyFont="1" applyBorder="1" applyAlignment="1">
      <alignment horizontal="center" vertical="center" wrapText="1"/>
    </xf>
    <xf numFmtId="0" fontId="5" fillId="0" borderId="15" xfId="0" applyFont="1" applyBorder="1" applyAlignment="1">
      <alignment horizontal="center" vertical="center" wrapText="1"/>
    </xf>
    <xf numFmtId="165" fontId="16" fillId="0" borderId="14" xfId="0" applyNumberFormat="1" applyFont="1" applyBorder="1" applyAlignment="1">
      <alignment horizontal="center" vertical="center" wrapText="1"/>
    </xf>
    <xf numFmtId="1" fontId="0" fillId="0" borderId="0" xfId="0" applyNumberForma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0" fillId="0" borderId="0" xfId="0" applyFill="1" applyBorder="1" applyAlignment="1" applyProtection="1">
      <alignment horizontal="center" vertical="center" wrapText="1"/>
    </xf>
    <xf numFmtId="0" fontId="0" fillId="0" borderId="0" xfId="0" applyBorder="1" applyAlignment="1" applyProtection="1">
      <alignment horizontal="center" wrapText="1"/>
    </xf>
    <xf numFmtId="0" fontId="0" fillId="0" borderId="0" xfId="0" applyBorder="1" applyAlignment="1" applyProtection="1">
      <alignment wrapText="1"/>
    </xf>
    <xf numFmtId="0" fontId="2" fillId="2" borderId="11" xfId="0" applyFont="1" applyFill="1" applyBorder="1" applyAlignment="1" applyProtection="1">
      <alignment horizontal="left" wrapText="1"/>
    </xf>
    <xf numFmtId="0" fontId="2" fillId="2" borderId="11" xfId="0" applyFont="1" applyFill="1" applyBorder="1" applyAlignment="1" applyProtection="1">
      <alignment horizontal="left" vertical="top" wrapText="1"/>
    </xf>
    <xf numFmtId="0" fontId="2" fillId="2" borderId="11" xfId="0" applyFont="1" applyFill="1" applyBorder="1" applyAlignment="1" applyProtection="1">
      <alignment horizontal="left" vertical="center" wrapText="1"/>
    </xf>
    <xf numFmtId="0" fontId="3" fillId="2" borderId="11" xfId="0" applyFont="1" applyFill="1" applyBorder="1" applyAlignment="1" applyProtection="1">
      <alignment horizontal="left" vertical="top" wrapText="1"/>
    </xf>
    <xf numFmtId="9" fontId="0" fillId="0" borderId="0" xfId="0" applyNumberFormat="1" applyBorder="1" applyAlignment="1">
      <alignment wrapText="1"/>
    </xf>
    <xf numFmtId="0" fontId="0" fillId="0" borderId="0" xfId="0" applyBorder="1" applyAlignment="1">
      <alignment horizontal="right" vertical="center" wrapText="1"/>
    </xf>
    <xf numFmtId="1" fontId="0" fillId="8" borderId="14" xfId="0" applyNumberFormat="1" applyFill="1" applyBorder="1" applyAlignment="1">
      <alignment horizontal="center" vertical="center" wrapText="1"/>
    </xf>
    <xf numFmtId="1" fontId="0" fillId="0" borderId="11" xfId="0" applyNumberFormat="1" applyFill="1" applyBorder="1" applyAlignment="1" applyProtection="1">
      <alignment horizontal="center" vertical="center" wrapText="1"/>
    </xf>
    <xf numFmtId="0" fontId="0" fillId="0" borderId="0" xfId="0" applyBorder="1" applyAlignment="1">
      <alignment horizontal="center" wrapText="1"/>
    </xf>
    <xf numFmtId="0" fontId="0" fillId="0" borderId="0" xfId="0" applyBorder="1" applyAlignment="1">
      <alignment wrapText="1"/>
    </xf>
    <xf numFmtId="165" fontId="10" fillId="0" borderId="11" xfId="0" applyNumberFormat="1" applyFont="1" applyBorder="1" applyAlignment="1">
      <alignment horizontal="center" vertical="center" wrapText="1"/>
    </xf>
    <xf numFmtId="2" fontId="0" fillId="0" borderId="11" xfId="0" applyNumberFormat="1" applyBorder="1" applyAlignment="1" applyProtection="1">
      <alignment horizontal="center" vertical="center" wrapText="1"/>
    </xf>
    <xf numFmtId="9" fontId="0" fillId="0" borderId="11" xfId="1" applyFont="1" applyBorder="1" applyAlignment="1" applyProtection="1">
      <alignment horizontal="center" vertical="center" wrapText="1"/>
    </xf>
    <xf numFmtId="1" fontId="0" fillId="0" borderId="11" xfId="0" applyNumberFormat="1" applyBorder="1" applyAlignment="1" applyProtection="1">
      <alignment wrapText="1"/>
    </xf>
    <xf numFmtId="1" fontId="0" fillId="0" borderId="11" xfId="0" applyNumberFormat="1" applyBorder="1" applyAlignment="1" applyProtection="1">
      <alignment vertical="center" wrapText="1"/>
    </xf>
    <xf numFmtId="0" fontId="10" fillId="0" borderId="11" xfId="0" applyFont="1" applyFill="1" applyBorder="1" applyAlignment="1" applyProtection="1">
      <alignment vertical="center" wrapText="1"/>
    </xf>
    <xf numFmtId="1" fontId="0" fillId="10" borderId="0" xfId="0" applyNumberFormat="1" applyFill="1" applyBorder="1" applyAlignment="1" applyProtection="1">
      <alignment horizontal="center" vertical="center" wrapText="1"/>
    </xf>
    <xf numFmtId="0" fontId="13" fillId="10" borderId="0" xfId="0" applyFont="1" applyFill="1" applyBorder="1" applyAlignment="1" applyProtection="1">
      <alignment vertical="center" wrapText="1"/>
    </xf>
    <xf numFmtId="9" fontId="0" fillId="4" borderId="11" xfId="1" applyFont="1" applyFill="1" applyBorder="1" applyAlignment="1" applyProtection="1">
      <alignment horizontal="center" vertical="center" wrapText="1"/>
      <protection locked="0"/>
    </xf>
    <xf numFmtId="0" fontId="10" fillId="0" borderId="11" xfId="0" applyFont="1" applyBorder="1" applyAlignment="1" applyProtection="1">
      <alignment horizontal="center" vertical="center" wrapText="1"/>
    </xf>
    <xf numFmtId="0" fontId="0" fillId="4" borderId="15" xfId="0" applyFill="1" applyBorder="1" applyAlignment="1" applyProtection="1">
      <alignment horizontal="center" wrapText="1"/>
      <protection locked="0"/>
    </xf>
    <xf numFmtId="1" fontId="0" fillId="0" borderId="11" xfId="0" applyNumberFormat="1" applyFill="1" applyBorder="1" applyAlignment="1" applyProtection="1">
      <alignment wrapText="1"/>
    </xf>
    <xf numFmtId="1" fontId="0" fillId="0" borderId="3" xfId="0" applyNumberFormat="1" applyBorder="1" applyAlignment="1">
      <alignment horizontal="center" vertical="center" wrapText="1"/>
    </xf>
    <xf numFmtId="165" fontId="11" fillId="0" borderId="5" xfId="0" applyNumberFormat="1" applyFont="1" applyFill="1" applyBorder="1" applyAlignment="1">
      <alignment horizontal="left" vertical="center" wrapText="1"/>
    </xf>
    <xf numFmtId="0" fontId="0" fillId="0" borderId="0" xfId="0" applyBorder="1" applyAlignment="1">
      <alignment wrapText="1"/>
    </xf>
    <xf numFmtId="10" fontId="0" fillId="0" borderId="0" xfId="0" applyNumberFormat="1" applyBorder="1" applyAlignment="1">
      <alignment wrapText="1"/>
    </xf>
    <xf numFmtId="2" fontId="0" fillId="9" borderId="11" xfId="0" applyNumberFormat="1" applyFill="1" applyBorder="1" applyAlignment="1" applyProtection="1">
      <alignment horizontal="center" vertical="center" wrapText="1"/>
      <protection locked="0"/>
    </xf>
    <xf numFmtId="0" fontId="0" fillId="0" borderId="11" xfId="0" applyBorder="1" applyAlignment="1">
      <alignment horizontal="center" vertical="center" wrapText="1"/>
    </xf>
    <xf numFmtId="2" fontId="0" fillId="0" borderId="11" xfId="0" applyNumberFormat="1" applyBorder="1" applyAlignment="1">
      <alignment horizontal="center" vertical="center" wrapText="1"/>
    </xf>
    <xf numFmtId="2" fontId="0" fillId="0" borderId="11" xfId="0" applyNumberFormat="1" applyFill="1" applyBorder="1" applyAlignment="1">
      <alignment horizontal="center" vertical="center" wrapText="1"/>
    </xf>
    <xf numFmtId="0" fontId="0" fillId="0" borderId="11" xfId="0" applyFill="1" applyBorder="1" applyAlignment="1">
      <alignment horizontal="center" vertical="center" wrapText="1"/>
    </xf>
    <xf numFmtId="1" fontId="0" fillId="0" borderId="11" xfId="0" applyNumberFormat="1" applyBorder="1" applyAlignment="1">
      <alignment horizontal="center" vertical="center" wrapText="1"/>
    </xf>
    <xf numFmtId="1" fontId="0" fillId="0" borderId="11" xfId="0" applyNumberFormat="1" applyFill="1" applyBorder="1" applyAlignment="1">
      <alignment horizontal="center" vertical="center" wrapText="1"/>
    </xf>
    <xf numFmtId="164" fontId="0" fillId="0" borderId="11" xfId="0" applyNumberFormat="1" applyFill="1" applyBorder="1" applyAlignment="1" applyProtection="1">
      <alignment horizontal="center" vertical="center" wrapText="1"/>
      <protection locked="0"/>
    </xf>
    <xf numFmtId="0" fontId="0" fillId="0" borderId="0" xfId="0" applyBorder="1" applyAlignment="1" applyProtection="1">
      <alignment horizontal="center" wrapText="1"/>
    </xf>
    <xf numFmtId="0" fontId="0" fillId="0" borderId="0" xfId="0" applyBorder="1" applyAlignment="1" applyProtection="1">
      <alignment horizontal="center" vertical="center" wrapText="1"/>
    </xf>
    <xf numFmtId="0" fontId="10" fillId="0" borderId="0" xfId="0" applyFont="1" applyBorder="1" applyAlignment="1" applyProtection="1">
      <alignment wrapText="1"/>
    </xf>
    <xf numFmtId="0" fontId="10" fillId="0" borderId="0" xfId="0" applyFont="1" applyBorder="1" applyAlignment="1" applyProtection="1">
      <alignment vertical="center" wrapText="1"/>
    </xf>
    <xf numFmtId="0" fontId="10"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10" fillId="10" borderId="0" xfId="0" applyFont="1" applyFill="1" applyBorder="1" applyAlignment="1" applyProtection="1">
      <alignment vertical="center" wrapText="1"/>
    </xf>
    <xf numFmtId="0" fontId="0" fillId="5" borderId="11" xfId="0" applyFill="1" applyBorder="1" applyAlignment="1" applyProtection="1">
      <alignment wrapText="1"/>
      <protection locked="0"/>
    </xf>
    <xf numFmtId="0" fontId="0" fillId="5" borderId="11" xfId="0" applyFill="1" applyBorder="1" applyAlignment="1" applyProtection="1">
      <alignment vertical="center" wrapText="1"/>
      <protection locked="0"/>
    </xf>
    <xf numFmtId="2" fontId="0" fillId="5" borderId="11" xfId="1" applyNumberFormat="1" applyFont="1" applyFill="1" applyBorder="1" applyAlignment="1" applyProtection="1">
      <alignment wrapText="1"/>
      <protection locked="0"/>
    </xf>
    <xf numFmtId="0" fontId="0" fillId="5" borderId="11" xfId="0"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0" fillId="5" borderId="11" xfId="0" applyFill="1" applyBorder="1" applyAlignment="1" applyProtection="1">
      <alignment horizontal="right" vertical="center" wrapText="1"/>
      <protection locked="0"/>
    </xf>
    <xf numFmtId="0" fontId="10" fillId="4" borderId="11" xfId="0" applyFont="1" applyFill="1" applyBorder="1" applyAlignment="1" applyProtection="1">
      <alignment horizontal="right" vertical="center" wrapText="1"/>
      <protection locked="0"/>
    </xf>
    <xf numFmtId="166" fontId="0" fillId="0" borderId="4" xfId="0" applyNumberFormat="1" applyFill="1"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wrapText="1"/>
    </xf>
    <xf numFmtId="0" fontId="0" fillId="0" borderId="0" xfId="0" applyFill="1" applyBorder="1" applyAlignment="1" applyProtection="1">
      <alignment wrapText="1"/>
    </xf>
    <xf numFmtId="0" fontId="0" fillId="3" borderId="12" xfId="0" applyFill="1" applyBorder="1" applyAlignment="1" applyProtection="1">
      <alignment horizontal="center" vertical="center" wrapText="1"/>
    </xf>
    <xf numFmtId="1" fontId="0" fillId="4" borderId="11" xfId="0" applyNumberFormat="1" applyFill="1" applyBorder="1" applyAlignment="1" applyProtection="1">
      <alignment horizontal="center" vertical="center" wrapText="1"/>
      <protection locked="0"/>
    </xf>
    <xf numFmtId="2" fontId="0" fillId="4" borderId="11" xfId="0" applyNumberFormat="1" applyFill="1" applyBorder="1" applyAlignment="1" applyProtection="1">
      <alignment horizontal="center" vertical="center" wrapText="1"/>
      <protection locked="0"/>
    </xf>
    <xf numFmtId="0" fontId="2" fillId="2" borderId="6" xfId="0" applyFont="1" applyFill="1" applyBorder="1" applyAlignment="1" applyProtection="1">
      <alignment horizontal="left" vertical="top" wrapText="1"/>
    </xf>
    <xf numFmtId="0" fontId="0" fillId="0" borderId="0" xfId="0" applyAlignment="1">
      <alignment horizontal="center"/>
    </xf>
    <xf numFmtId="0" fontId="10" fillId="0" borderId="0" xfId="0" applyFont="1" applyBorder="1" applyAlignment="1" applyProtection="1">
      <alignment horizontal="center" wrapText="1"/>
    </xf>
    <xf numFmtId="0" fontId="0" fillId="0" borderId="0" xfId="0" applyBorder="1" applyAlignment="1" applyProtection="1">
      <alignment wrapText="1"/>
    </xf>
    <xf numFmtId="0" fontId="0" fillId="0" borderId="0" xfId="0" applyBorder="1" applyAlignment="1" applyProtection="1">
      <alignment horizontal="center" wrapText="1"/>
    </xf>
    <xf numFmtId="0" fontId="0" fillId="3" borderId="0" xfId="0" applyFill="1" applyBorder="1" applyAlignment="1" applyProtection="1">
      <alignment wrapText="1"/>
    </xf>
    <xf numFmtId="0" fontId="0" fillId="0" borderId="0" xfId="0" applyBorder="1" applyAlignment="1">
      <alignment wrapText="1"/>
    </xf>
    <xf numFmtId="0" fontId="10" fillId="0" borderId="0" xfId="0" applyFont="1" applyBorder="1" applyAlignment="1" applyProtection="1">
      <alignment horizontal="center" wrapText="1"/>
    </xf>
    <xf numFmtId="0" fontId="10" fillId="0" borderId="0" xfId="0" applyFont="1" applyBorder="1" applyAlignment="1" applyProtection="1">
      <alignment horizontal="left" vertical="center" wrapText="1"/>
    </xf>
    <xf numFmtId="0" fontId="25" fillId="0" borderId="9" xfId="0" applyFont="1" applyBorder="1" applyAlignment="1" applyProtection="1">
      <alignment horizontal="left" wrapText="1"/>
    </xf>
    <xf numFmtId="0" fontId="0" fillId="0" borderId="0" xfId="0" applyBorder="1" applyAlignment="1">
      <alignment wrapText="1"/>
    </xf>
    <xf numFmtId="0" fontId="0" fillId="0" borderId="0" xfId="0" applyBorder="1" applyAlignment="1" applyProtection="1">
      <alignment horizont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10" fillId="0" borderId="0" xfId="0" applyFont="1" applyBorder="1" applyAlignment="1" applyProtection="1">
      <alignment wrapText="1"/>
    </xf>
    <xf numFmtId="0" fontId="10" fillId="0" borderId="0" xfId="0" applyFont="1" applyBorder="1" applyAlignment="1" applyProtection="1">
      <alignment vertical="center" wrapText="1"/>
    </xf>
    <xf numFmtId="1" fontId="0" fillId="0" borderId="0" xfId="0" applyNumberFormat="1" applyBorder="1" applyAlignment="1" applyProtection="1">
      <alignment horizontal="center" vertical="center" wrapText="1"/>
    </xf>
    <xf numFmtId="0" fontId="10" fillId="0" borderId="0" xfId="0" applyFont="1" applyBorder="1" applyAlignment="1" applyProtection="1">
      <alignment horizontal="center" wrapText="1"/>
    </xf>
    <xf numFmtId="0" fontId="10" fillId="10" borderId="0" xfId="0" applyFont="1" applyFill="1" applyBorder="1" applyAlignment="1" applyProtection="1">
      <alignment vertical="center" wrapText="1"/>
    </xf>
    <xf numFmtId="0" fontId="10" fillId="0" borderId="0" xfId="0" applyFont="1" applyBorder="1" applyAlignment="1" applyProtection="1">
      <alignment horizontal="left" vertical="center" wrapText="1"/>
    </xf>
    <xf numFmtId="0" fontId="0" fillId="0" borderId="0" xfId="0" applyBorder="1" applyAlignment="1">
      <alignment wrapText="1"/>
    </xf>
    <xf numFmtId="0" fontId="0" fillId="0" borderId="0" xfId="0" applyFill="1" applyBorder="1" applyAlignment="1" applyProtection="1">
      <alignment wrapText="1"/>
    </xf>
    <xf numFmtId="0" fontId="0" fillId="0" borderId="0" xfId="0" applyFont="1" applyFill="1" applyAlignment="1">
      <alignment wrapText="1"/>
    </xf>
    <xf numFmtId="0" fontId="0" fillId="0" borderId="0" xfId="0" applyFill="1" applyAlignment="1">
      <alignment wrapText="1"/>
    </xf>
    <xf numFmtId="2" fontId="0" fillId="0" borderId="5" xfId="0" applyNumberFormat="1" applyFill="1" applyBorder="1" applyAlignment="1">
      <alignment horizontal="center" vertical="center" wrapText="1"/>
    </xf>
    <xf numFmtId="2" fontId="0" fillId="11" borderId="11" xfId="0" applyNumberFormat="1" applyFill="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1" fontId="0" fillId="8" borderId="16" xfId="0" applyNumberFormat="1" applyFill="1" applyBorder="1" applyAlignment="1">
      <alignment horizontal="center" vertical="center" wrapText="1"/>
    </xf>
    <xf numFmtId="1" fontId="0" fillId="8" borderId="15" xfId="0" applyNumberFormat="1" applyFill="1" applyBorder="1" applyAlignment="1">
      <alignment horizontal="center" vertical="center" wrapText="1"/>
    </xf>
    <xf numFmtId="2" fontId="0" fillId="0" borderId="5" xfId="0" applyNumberFormat="1" applyBorder="1" applyAlignment="1">
      <alignment horizontal="center" vertical="center" wrapText="1"/>
    </xf>
    <xf numFmtId="0" fontId="0" fillId="0" borderId="0" xfId="0" applyBorder="1" applyAlignment="1">
      <alignment horizontal="center" vertical="center" wrapText="1"/>
    </xf>
    <xf numFmtId="165" fontId="0" fillId="0" borderId="0" xfId="0" applyNumberFormat="1" applyFill="1" applyBorder="1" applyAlignment="1">
      <alignment horizontal="center" vertical="center" wrapText="1"/>
    </xf>
    <xf numFmtId="164" fontId="0" fillId="0" borderId="0" xfId="0" applyNumberFormat="1" applyFill="1" applyBorder="1" applyAlignment="1">
      <alignment horizontal="center" wrapText="1"/>
    </xf>
    <xf numFmtId="1" fontId="0" fillId="0" borderId="0" xfId="0" applyNumberFormat="1" applyFill="1" applyBorder="1" applyAlignment="1">
      <alignment horizontal="center" wrapText="1"/>
    </xf>
    <xf numFmtId="164" fontId="22" fillId="10" borderId="11" xfId="0" applyNumberFormat="1"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10" fillId="2" borderId="5" xfId="0" applyFont="1" applyFill="1" applyBorder="1" applyAlignment="1" applyProtection="1">
      <alignment horizontal="left" vertical="center" wrapText="1"/>
      <protection locked="0"/>
    </xf>
    <xf numFmtId="0" fontId="23" fillId="0" borderId="0" xfId="0" applyFont="1" applyBorder="1" applyAlignment="1" applyProtection="1">
      <alignment vertical="center" wrapText="1"/>
    </xf>
    <xf numFmtId="167" fontId="0" fillId="4" borderId="11" xfId="1" applyNumberFormat="1" applyFont="1" applyFill="1" applyBorder="1" applyAlignment="1" applyProtection="1">
      <alignment horizontal="center" vertical="center" wrapText="1"/>
      <protection locked="0"/>
    </xf>
    <xf numFmtId="166" fontId="0" fillId="4" borderId="11" xfId="0" applyNumberFormat="1" applyFill="1" applyBorder="1" applyAlignment="1" applyProtection="1">
      <alignment horizontal="center" vertical="center" wrapText="1"/>
      <protection locked="0"/>
    </xf>
    <xf numFmtId="0" fontId="0" fillId="0" borderId="0" xfId="0" applyBorder="1" applyAlignment="1">
      <alignment vertical="center" wrapText="1"/>
    </xf>
    <xf numFmtId="2" fontId="0" fillId="4" borderId="11" xfId="1" applyNumberFormat="1" applyFont="1" applyFill="1" applyBorder="1" applyAlignment="1" applyProtection="1">
      <alignment horizontal="center" vertical="center" wrapText="1"/>
      <protection locked="0"/>
    </xf>
    <xf numFmtId="2" fontId="0" fillId="0" borderId="11" xfId="0" applyNumberFormat="1" applyFill="1" applyBorder="1" applyAlignment="1" applyProtection="1">
      <alignment horizontal="center" vertical="center" wrapText="1"/>
    </xf>
    <xf numFmtId="0" fontId="0" fillId="9" borderId="11" xfId="0" applyFill="1" applyBorder="1" applyAlignment="1" applyProtection="1">
      <alignment horizontal="center" vertical="center" wrapText="1"/>
      <protection locked="0"/>
    </xf>
    <xf numFmtId="0" fontId="0" fillId="0" borderId="0" xfId="0" applyBorder="1" applyAlignment="1" applyProtection="1">
      <alignment wrapText="1"/>
    </xf>
    <xf numFmtId="0" fontId="8" fillId="0" borderId="0" xfId="0" applyFont="1" applyBorder="1" applyAlignment="1" applyProtection="1">
      <alignment horizontal="center" wrapText="1"/>
    </xf>
    <xf numFmtId="0" fontId="0" fillId="0" borderId="11" xfId="0" applyBorder="1" applyAlignment="1" applyProtection="1">
      <alignment wrapText="1"/>
    </xf>
    <xf numFmtId="0" fontId="0" fillId="0" borderId="11" xfId="0" applyBorder="1" applyAlignment="1" applyProtection="1">
      <alignment vertical="center" wrapText="1"/>
    </xf>
    <xf numFmtId="0" fontId="10" fillId="0" borderId="11" xfId="0" applyFont="1" applyBorder="1" applyAlignment="1" applyProtection="1">
      <alignment vertical="center" wrapText="1"/>
    </xf>
    <xf numFmtId="0" fontId="0" fillId="0" borderId="0" xfId="0" applyBorder="1" applyAlignment="1" applyProtection="1">
      <alignment wrapText="1"/>
    </xf>
    <xf numFmtId="1" fontId="0" fillId="0" borderId="0" xfId="0" applyNumberFormat="1" applyBorder="1" applyAlignment="1" applyProtection="1">
      <alignment horizontal="center" vertical="center" wrapText="1"/>
    </xf>
    <xf numFmtId="0" fontId="19" fillId="0" borderId="11" xfId="0" applyFont="1" applyBorder="1" applyAlignment="1" applyProtection="1">
      <alignment horizontal="left" vertical="center" wrapText="1"/>
    </xf>
    <xf numFmtId="0" fontId="0" fillId="0" borderId="11" xfId="0" applyFill="1" applyBorder="1" applyAlignment="1" applyProtection="1">
      <alignment horizontal="center" vertical="center" wrapText="1"/>
    </xf>
    <xf numFmtId="0" fontId="10" fillId="0" borderId="11" xfId="0" applyFont="1" applyBorder="1" applyAlignment="1" applyProtection="1">
      <alignment horizontal="left" vertical="center" wrapText="1"/>
    </xf>
    <xf numFmtId="0" fontId="19" fillId="0" borderId="11" xfId="0" applyFont="1" applyBorder="1" applyAlignment="1" applyProtection="1">
      <alignment vertical="center" wrapText="1"/>
    </xf>
    <xf numFmtId="0" fontId="0" fillId="0" borderId="0" xfId="0" applyFill="1"/>
    <xf numFmtId="2" fontId="33" fillId="2" borderId="11" xfId="0" applyNumberFormat="1" applyFont="1" applyFill="1" applyBorder="1" applyAlignment="1" applyProtection="1">
      <alignment horizontal="center" vertical="center" wrapText="1"/>
    </xf>
    <xf numFmtId="0" fontId="10" fillId="0" borderId="11" xfId="0" applyFont="1" applyBorder="1" applyAlignment="1" applyProtection="1">
      <alignment vertical="center" wrapText="1"/>
    </xf>
    <xf numFmtId="0" fontId="0" fillId="0" borderId="0" xfId="0" applyBorder="1" applyAlignment="1">
      <alignment wrapText="1"/>
    </xf>
    <xf numFmtId="0" fontId="0" fillId="0" borderId="0" xfId="0" applyBorder="1" applyAlignment="1" applyProtection="1">
      <alignment vertical="center" wrapText="1"/>
    </xf>
    <xf numFmtId="0" fontId="10" fillId="10" borderId="11" xfId="0" applyFont="1" applyFill="1" applyBorder="1" applyAlignment="1" applyProtection="1">
      <alignment vertical="center" wrapText="1"/>
    </xf>
    <xf numFmtId="0" fontId="0" fillId="0" borderId="3" xfId="0" applyBorder="1" applyAlignment="1" applyProtection="1">
      <alignment horizontal="center" vertical="center" wrapText="1"/>
    </xf>
    <xf numFmtId="0" fontId="10" fillId="0" borderId="11" xfId="0" applyFont="1" applyBorder="1" applyAlignment="1" applyProtection="1">
      <alignment wrapText="1"/>
    </xf>
    <xf numFmtId="0" fontId="10" fillId="0" borderId="0" xfId="0" applyFont="1" applyBorder="1" applyAlignment="1" applyProtection="1">
      <alignment horizontal="center" vertical="center" wrapText="1"/>
    </xf>
    <xf numFmtId="0" fontId="10" fillId="0" borderId="3" xfId="0" applyFont="1" applyBorder="1" applyAlignment="1" applyProtection="1">
      <alignment horizontal="left" vertical="center" wrapText="1"/>
    </xf>
    <xf numFmtId="0" fontId="10" fillId="0" borderId="8" xfId="0" applyFont="1" applyBorder="1" applyAlignment="1" applyProtection="1">
      <alignment vertical="center" wrapText="1"/>
    </xf>
    <xf numFmtId="0" fontId="0" fillId="0" borderId="8" xfId="0" applyFill="1" applyBorder="1" applyAlignment="1" applyProtection="1">
      <alignment horizontal="center" wrapText="1"/>
    </xf>
    <xf numFmtId="0" fontId="13" fillId="0" borderId="11" xfId="0" applyFont="1" applyBorder="1" applyAlignment="1" applyProtection="1">
      <alignment horizontal="center" vertical="center" wrapText="1"/>
    </xf>
    <xf numFmtId="0" fontId="13" fillId="0" borderId="11" xfId="0" applyFont="1" applyBorder="1" applyAlignment="1" applyProtection="1">
      <alignment vertical="center" wrapText="1"/>
    </xf>
    <xf numFmtId="1" fontId="5" fillId="10" borderId="11" xfId="0" applyNumberFormat="1" applyFont="1" applyFill="1" applyBorder="1" applyAlignment="1" applyProtection="1">
      <alignment horizontal="center" vertical="center" wrapText="1"/>
    </xf>
    <xf numFmtId="0" fontId="13" fillId="10" borderId="11" xfId="0" applyFont="1" applyFill="1" applyBorder="1" applyAlignment="1" applyProtection="1">
      <alignment vertical="center" wrapText="1"/>
    </xf>
    <xf numFmtId="0" fontId="0" fillId="2" borderId="11" xfId="0" applyFill="1" applyBorder="1" applyAlignment="1" applyProtection="1">
      <alignment horizontal="center" vertical="center" wrapText="1"/>
    </xf>
    <xf numFmtId="0" fontId="0" fillId="2" borderId="11" xfId="0" applyFill="1" applyBorder="1" applyAlignment="1" applyProtection="1">
      <alignment horizontal="left" vertical="center" wrapText="1"/>
    </xf>
    <xf numFmtId="0" fontId="13" fillId="10" borderId="11" xfId="0" applyFont="1" applyFill="1" applyBorder="1" applyAlignment="1" applyProtection="1">
      <alignment vertical="center" wrapText="1"/>
    </xf>
    <xf numFmtId="0" fontId="0" fillId="4" borderId="2" xfId="0" applyFill="1" applyBorder="1" applyAlignment="1" applyProtection="1">
      <alignment horizontal="center" vertical="center" wrapText="1"/>
      <protection locked="0"/>
    </xf>
    <xf numFmtId="2" fontId="0" fillId="4" borderId="4" xfId="1" applyNumberFormat="1" applyFont="1" applyFill="1" applyBorder="1" applyAlignment="1" applyProtection="1">
      <alignment horizontal="center" vertical="center" wrapText="1"/>
      <protection locked="0"/>
    </xf>
    <xf numFmtId="0" fontId="0" fillId="0" borderId="14" xfId="0" applyBorder="1" applyAlignment="1" applyProtection="1">
      <alignment horizontal="center" vertical="center" wrapText="1"/>
    </xf>
    <xf numFmtId="0" fontId="10" fillId="0" borderId="15" xfId="0" applyFont="1" applyBorder="1" applyAlignment="1" applyProtection="1">
      <alignment vertical="center" wrapText="1"/>
    </xf>
    <xf numFmtId="9" fontId="0" fillId="4" borderId="11" xfId="0" applyNumberFormat="1" applyFill="1" applyBorder="1" applyAlignment="1" applyProtection="1">
      <alignment horizontal="center" vertical="center" wrapText="1"/>
      <protection locked="0"/>
    </xf>
    <xf numFmtId="166" fontId="0" fillId="4" borderId="4" xfId="0" applyNumberFormat="1" applyFill="1" applyBorder="1" applyAlignment="1" applyProtection="1">
      <alignment horizontal="center" vertical="center" wrapText="1"/>
      <protection locked="0"/>
    </xf>
    <xf numFmtId="1" fontId="0" fillId="4" borderId="4" xfId="0" applyNumberFormat="1" applyFill="1" applyBorder="1" applyAlignment="1" applyProtection="1">
      <alignment horizontal="center" vertical="center" wrapText="1"/>
      <protection locked="0"/>
    </xf>
    <xf numFmtId="0" fontId="5" fillId="10" borderId="11" xfId="0" applyFont="1" applyFill="1" applyBorder="1" applyAlignment="1" applyProtection="1">
      <alignment vertical="center" wrapText="1"/>
    </xf>
    <xf numFmtId="2" fontId="33" fillId="2" borderId="15" xfId="0" applyNumberFormat="1" applyFont="1" applyFill="1" applyBorder="1" applyAlignment="1" applyProtection="1">
      <alignment horizontal="center" vertical="center" wrapText="1"/>
    </xf>
    <xf numFmtId="0" fontId="0" fillId="0" borderId="14" xfId="0" applyBorder="1" applyAlignment="1" applyProtection="1">
      <alignment vertical="center" wrapText="1"/>
    </xf>
    <xf numFmtId="1" fontId="0" fillId="9" borderId="14" xfId="0" applyNumberFormat="1" applyFill="1" applyBorder="1" applyAlignment="1" applyProtection="1">
      <alignment horizontal="center" vertical="center" wrapText="1"/>
      <protection locked="0"/>
    </xf>
    <xf numFmtId="0" fontId="10" fillId="0" borderId="14" xfId="0" applyFont="1" applyBorder="1" applyAlignment="1" applyProtection="1">
      <alignment horizontal="left" vertical="center" wrapText="1"/>
    </xf>
    <xf numFmtId="0" fontId="0" fillId="0" borderId="14" xfId="0" applyBorder="1" applyAlignment="1" applyProtection="1">
      <alignment wrapText="1"/>
    </xf>
    <xf numFmtId="0" fontId="0" fillId="0" borderId="11" xfId="0" applyFont="1" applyBorder="1" applyAlignment="1" applyProtection="1">
      <alignment horizontal="center" vertical="center" wrapText="1"/>
    </xf>
    <xf numFmtId="2" fontId="5" fillId="0" borderId="3" xfId="1" applyNumberFormat="1" applyFont="1" applyBorder="1" applyAlignment="1" applyProtection="1">
      <alignment horizontal="center" vertical="center" wrapText="1"/>
    </xf>
    <xf numFmtId="3" fontId="5" fillId="10" borderId="3" xfId="0" applyNumberFormat="1" applyFont="1" applyFill="1" applyBorder="1" applyAlignment="1" applyProtection="1">
      <alignment horizontal="center" vertical="center" wrapText="1"/>
    </xf>
    <xf numFmtId="0" fontId="1" fillId="2" borderId="7" xfId="0" applyFont="1" applyFill="1" applyBorder="1" applyAlignment="1">
      <alignment wrapText="1"/>
    </xf>
    <xf numFmtId="0" fontId="0" fillId="2" borderId="7" xfId="0" applyFill="1" applyBorder="1" applyAlignment="1">
      <alignment wrapText="1"/>
    </xf>
    <xf numFmtId="1" fontId="0" fillId="10" borderId="11" xfId="0" applyNumberFormat="1" applyFill="1" applyBorder="1" applyAlignment="1" applyProtection="1">
      <alignment horizontal="right" vertical="center" wrapText="1"/>
    </xf>
    <xf numFmtId="0" fontId="5" fillId="0" borderId="0" xfId="0" applyFont="1" applyBorder="1" applyAlignment="1">
      <alignment wrapText="1"/>
    </xf>
    <xf numFmtId="0" fontId="0" fillId="3" borderId="9" xfId="0" applyFont="1" applyFill="1" applyBorder="1" applyAlignment="1" applyProtection="1">
      <alignment horizontal="center" vertical="center" wrapText="1"/>
    </xf>
    <xf numFmtId="0" fontId="0" fillId="3" borderId="10" xfId="0" applyFont="1" applyFill="1" applyBorder="1" applyAlignment="1" applyProtection="1">
      <alignment horizontal="center" vertical="center" wrapText="1"/>
    </xf>
    <xf numFmtId="0" fontId="0" fillId="0" borderId="8" xfId="0" applyBorder="1" applyAlignment="1" applyProtection="1">
      <alignment wrapText="1"/>
    </xf>
    <xf numFmtId="0" fontId="0" fillId="0" borderId="2" xfId="0" applyBorder="1" applyAlignment="1" applyProtection="1">
      <alignment wrapText="1"/>
    </xf>
    <xf numFmtId="0" fontId="0" fillId="0" borderId="7" xfId="0" applyBorder="1" applyAlignment="1" applyProtection="1">
      <alignment wrapText="1"/>
    </xf>
    <xf numFmtId="1" fontId="0" fillId="4" borderId="11" xfId="0" applyNumberFormat="1" applyFill="1" applyBorder="1" applyAlignment="1" applyProtection="1">
      <alignment horizontal="center" wrapText="1"/>
      <protection locked="0"/>
    </xf>
    <xf numFmtId="0" fontId="5" fillId="0" borderId="0" xfId="0" applyFont="1" applyBorder="1" applyAlignment="1" applyProtection="1">
      <alignment vertical="center" wrapText="1"/>
    </xf>
    <xf numFmtId="0" fontId="5" fillId="10" borderId="11" xfId="0" applyFont="1" applyFill="1" applyBorder="1" applyAlignment="1" applyProtection="1">
      <alignment horizontal="center" vertical="center" wrapText="1"/>
    </xf>
    <xf numFmtId="0" fontId="13" fillId="10" borderId="5" xfId="0" applyFont="1" applyFill="1" applyBorder="1" applyAlignment="1" applyProtection="1">
      <alignment vertical="center" wrapText="1"/>
    </xf>
    <xf numFmtId="0" fontId="10" fillId="0" borderId="14"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1" fontId="0" fillId="0" borderId="14" xfId="0" applyNumberFormat="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0" fillId="4" borderId="15" xfId="0" applyFill="1" applyBorder="1" applyAlignment="1" applyProtection="1">
      <alignment horizontal="center" vertical="center" wrapText="1"/>
      <protection locked="0"/>
    </xf>
    <xf numFmtId="9" fontId="0" fillId="0" borderId="11" xfId="1" applyFont="1" applyFill="1"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166" fontId="0" fillId="0" borderId="11" xfId="0" applyNumberForma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4" borderId="14"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xf>
    <xf numFmtId="0" fontId="34" fillId="0" borderId="0" xfId="0" applyFont="1" applyFill="1" applyBorder="1" applyAlignment="1" applyProtection="1">
      <alignment horizontal="right" vertical="center" wrapText="1"/>
    </xf>
    <xf numFmtId="0" fontId="34"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9" fontId="0" fillId="0" borderId="15" xfId="1" applyFont="1" applyFill="1" applyBorder="1" applyAlignment="1" applyProtection="1">
      <alignment horizontal="center" vertical="center" wrapText="1"/>
    </xf>
    <xf numFmtId="0" fontId="0" fillId="0" borderId="11" xfId="0" applyBorder="1" applyAlignment="1" applyProtection="1">
      <alignment vertical="center" wrapText="1"/>
    </xf>
    <xf numFmtId="0" fontId="0" fillId="0" borderId="11" xfId="0" applyBorder="1" applyAlignment="1">
      <alignment vertical="center" wrapText="1"/>
    </xf>
    <xf numFmtId="0" fontId="10" fillId="0" borderId="11" xfId="0" applyFont="1" applyBorder="1" applyAlignment="1" applyProtection="1">
      <alignment vertical="center" wrapText="1"/>
    </xf>
    <xf numFmtId="0" fontId="0" fillId="0" borderId="11" xfId="0" applyBorder="1" applyAlignment="1">
      <alignment horizontal="center" vertical="center" wrapText="1"/>
    </xf>
    <xf numFmtId="0" fontId="0" fillId="0" borderId="3" xfId="0" applyBorder="1" applyAlignment="1">
      <alignment vertical="center" wrapText="1"/>
    </xf>
    <xf numFmtId="0" fontId="0" fillId="0" borderId="11" xfId="0" applyBorder="1" applyAlignment="1" applyProtection="1">
      <alignment horizontal="center" vertical="center" wrapText="1"/>
    </xf>
    <xf numFmtId="1" fontId="0" fillId="0" borderId="11" xfId="0" applyNumberFormat="1" applyBorder="1" applyAlignment="1" applyProtection="1">
      <alignment horizontal="center" vertical="center" wrapText="1"/>
    </xf>
    <xf numFmtId="0" fontId="10" fillId="0" borderId="11" xfId="0" applyFont="1" applyBorder="1" applyAlignment="1" applyProtection="1">
      <alignment horizontal="left" vertical="center" wrapText="1"/>
    </xf>
    <xf numFmtId="0" fontId="0" fillId="0" borderId="0" xfId="0" applyBorder="1" applyAlignment="1" applyProtection="1">
      <alignment wrapText="1"/>
    </xf>
    <xf numFmtId="0" fontId="10" fillId="0" borderId="11" xfId="0" applyFont="1" applyBorder="1" applyAlignment="1" applyProtection="1">
      <alignment horizontal="center" vertical="center" wrapText="1"/>
    </xf>
    <xf numFmtId="0" fontId="0" fillId="0" borderId="3" xfId="0"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0" xfId="0" applyBorder="1" applyAlignment="1" applyProtection="1">
      <alignment vertical="center" wrapText="1"/>
    </xf>
    <xf numFmtId="9" fontId="33" fillId="0" borderId="11" xfId="0" applyNumberFormat="1" applyFont="1" applyBorder="1" applyAlignment="1">
      <alignment horizontal="center" vertical="center" wrapText="1"/>
    </xf>
    <xf numFmtId="9" fontId="33" fillId="0" borderId="15" xfId="0" applyNumberFormat="1" applyFont="1" applyBorder="1" applyAlignment="1">
      <alignment horizontal="center" vertical="center" wrapText="1"/>
    </xf>
    <xf numFmtId="0" fontId="10" fillId="0" borderId="11" xfId="0" applyFont="1" applyBorder="1" applyAlignment="1" applyProtection="1">
      <alignment vertical="center" wrapText="1"/>
    </xf>
    <xf numFmtId="0" fontId="0" fillId="0" borderId="11" xfId="0" applyBorder="1" applyAlignment="1" applyProtection="1">
      <alignment vertical="center" wrapText="1"/>
    </xf>
    <xf numFmtId="0" fontId="0" fillId="0" borderId="0" xfId="0" applyBorder="1" applyAlignment="1" applyProtection="1">
      <alignment wrapText="1"/>
    </xf>
    <xf numFmtId="0" fontId="5" fillId="0" borderId="3" xfId="0" applyFont="1" applyBorder="1" applyAlignment="1" applyProtection="1">
      <alignment wrapText="1"/>
    </xf>
    <xf numFmtId="0" fontId="5" fillId="0" borderId="4" xfId="0" applyFont="1" applyBorder="1" applyAlignment="1" applyProtection="1">
      <alignment horizontal="center" wrapText="1"/>
    </xf>
    <xf numFmtId="4" fontId="5" fillId="10" borderId="5" xfId="0" applyNumberFormat="1" applyFont="1" applyFill="1" applyBorder="1" applyAlignment="1" applyProtection="1">
      <alignment horizontal="center" wrapText="1"/>
    </xf>
    <xf numFmtId="3" fontId="5" fillId="10" borderId="11" xfId="0" applyNumberFormat="1" applyFont="1" applyFill="1" applyBorder="1" applyAlignment="1" applyProtection="1">
      <alignment horizontal="center" vertical="center" wrapText="1"/>
    </xf>
    <xf numFmtId="0" fontId="0" fillId="0" borderId="0" xfId="0" applyAlignment="1">
      <alignment vertical="center" wrapText="1"/>
    </xf>
    <xf numFmtId="9" fontId="0" fillId="0" borderId="11" xfId="0" applyNumberFormat="1" applyBorder="1" applyAlignment="1">
      <alignment horizontal="center" vertical="center" wrapText="1"/>
    </xf>
    <xf numFmtId="2" fontId="5" fillId="4" borderId="11" xfId="0" applyNumberFormat="1" applyFont="1" applyFill="1" applyBorder="1" applyAlignment="1" applyProtection="1">
      <alignment horizontal="center" vertical="center" wrapText="1"/>
      <protection locked="0"/>
    </xf>
    <xf numFmtId="9" fontId="0" fillId="0" borderId="11" xfId="0" applyNumberFormat="1" applyFont="1" applyBorder="1" applyAlignment="1" applyProtection="1">
      <alignment horizontal="center" vertical="center" wrapText="1"/>
    </xf>
    <xf numFmtId="0" fontId="5" fillId="3" borderId="11" xfId="0" applyFont="1" applyFill="1" applyBorder="1" applyAlignment="1">
      <alignment horizontal="center" vertical="center" wrapText="1"/>
    </xf>
    <xf numFmtId="165" fontId="0" fillId="0" borderId="11" xfId="0" applyNumberFormat="1" applyBorder="1" applyAlignment="1">
      <alignment horizontal="center" vertical="center" wrapText="1"/>
    </xf>
    <xf numFmtId="165" fontId="11" fillId="0" borderId="3" xfId="0" applyNumberFormat="1" applyFont="1" applyFill="1" applyBorder="1" applyAlignment="1">
      <alignment horizontal="left" vertical="center" wrapText="1"/>
    </xf>
    <xf numFmtId="165" fontId="11" fillId="0" borderId="3" xfId="0" applyNumberFormat="1" applyFont="1" applyFill="1" applyBorder="1" applyAlignment="1">
      <alignment vertical="center" wrapText="1"/>
    </xf>
    <xf numFmtId="165" fontId="11" fillId="0" borderId="5" xfId="0" applyNumberFormat="1" applyFont="1" applyFill="1" applyBorder="1" applyAlignment="1">
      <alignment vertical="center" wrapText="1"/>
    </xf>
    <xf numFmtId="0" fontId="1" fillId="2" borderId="0" xfId="0" applyFont="1" applyFill="1" applyBorder="1" applyAlignment="1">
      <alignment horizontal="center" vertical="center" wrapText="1"/>
    </xf>
    <xf numFmtId="0" fontId="5" fillId="6" borderId="11" xfId="0" applyFont="1" applyFill="1" applyBorder="1" applyAlignment="1" applyProtection="1">
      <alignment horizontal="center" vertical="center" wrapText="1"/>
    </xf>
    <xf numFmtId="0" fontId="39" fillId="2" borderId="11" xfId="0" applyFont="1" applyFill="1" applyBorder="1" applyAlignment="1" applyProtection="1">
      <alignment horizontal="center" vertical="center" wrapText="1"/>
    </xf>
    <xf numFmtId="0" fontId="39" fillId="2" borderId="11" xfId="0" applyFont="1" applyFill="1" applyBorder="1" applyAlignment="1" applyProtection="1">
      <alignment horizontal="center" wrapText="1"/>
    </xf>
    <xf numFmtId="3" fontId="0" fillId="2" borderId="11" xfId="0" applyNumberFormat="1" applyFill="1" applyBorder="1" applyAlignment="1" applyProtection="1">
      <alignment horizontal="center" vertical="center" wrapText="1"/>
    </xf>
    <xf numFmtId="2" fontId="11" fillId="0" borderId="11" xfId="0" applyNumberFormat="1" applyFont="1" applyFill="1" applyBorder="1" applyAlignment="1" applyProtection="1">
      <alignment horizontal="center" vertical="center" wrapText="1"/>
    </xf>
    <xf numFmtId="3" fontId="0" fillId="0" borderId="15" xfId="0" applyNumberFormat="1" applyFill="1" applyBorder="1" applyAlignment="1" applyProtection="1">
      <alignment horizontal="center" vertical="center" wrapText="1"/>
    </xf>
    <xf numFmtId="3" fontId="11" fillId="0" borderId="11" xfId="0" applyNumberFormat="1" applyFont="1" applyFill="1" applyBorder="1" applyAlignment="1" applyProtection="1">
      <alignment horizontal="center" vertical="center" wrapText="1"/>
    </xf>
    <xf numFmtId="3" fontId="0" fillId="4" borderId="14" xfId="0" applyNumberFormat="1" applyFill="1" applyBorder="1" applyAlignment="1" applyProtection="1">
      <alignment horizontal="center" vertical="center" wrapText="1"/>
      <protection locked="0"/>
    </xf>
    <xf numFmtId="0" fontId="7" fillId="3" borderId="3" xfId="0" applyFont="1" applyFill="1" applyBorder="1" applyAlignment="1" applyProtection="1">
      <alignment vertical="center" wrapText="1"/>
    </xf>
    <xf numFmtId="0" fontId="5" fillId="3" borderId="4" xfId="0" applyFont="1" applyFill="1" applyBorder="1" applyAlignment="1" applyProtection="1">
      <alignment vertical="center" wrapText="1"/>
    </xf>
    <xf numFmtId="0" fontId="7" fillId="3" borderId="5" xfId="0" applyFont="1" applyFill="1" applyBorder="1" applyAlignment="1" applyProtection="1">
      <alignment vertical="center" wrapText="1"/>
    </xf>
    <xf numFmtId="0" fontId="0" fillId="3" borderId="11" xfId="0" applyFont="1" applyFill="1" applyBorder="1" applyAlignment="1" applyProtection="1">
      <alignment vertical="center" wrapText="1"/>
    </xf>
    <xf numFmtId="3" fontId="0" fillId="0" borderId="11" xfId="0" applyNumberFormat="1" applyBorder="1" applyAlignment="1" applyProtection="1">
      <alignment horizontal="center" vertical="center" wrapText="1"/>
    </xf>
    <xf numFmtId="0" fontId="8" fillId="0" borderId="0" xfId="0" applyFont="1" applyBorder="1" applyAlignment="1" applyProtection="1">
      <alignment vertical="center" wrapText="1"/>
    </xf>
    <xf numFmtId="9" fontId="11" fillId="0" borderId="11" xfId="1" applyFont="1" applyFill="1" applyBorder="1" applyAlignment="1" applyProtection="1">
      <alignment horizontal="center" vertical="center" wrapText="1"/>
    </xf>
    <xf numFmtId="0" fontId="0" fillId="4" borderId="14" xfId="0" applyFill="1" applyBorder="1" applyAlignment="1" applyProtection="1">
      <alignment horizontal="center" vertical="center" wrapText="1"/>
      <protection locked="0"/>
    </xf>
    <xf numFmtId="9" fontId="40" fillId="0" borderId="11" xfId="0" applyNumberFormat="1" applyFont="1" applyBorder="1" applyAlignment="1">
      <alignment horizontal="center" vertical="center" wrapText="1"/>
    </xf>
    <xf numFmtId="3" fontId="40" fillId="2" borderId="15" xfId="0" applyNumberFormat="1" applyFont="1" applyFill="1" applyBorder="1" applyAlignment="1" applyProtection="1">
      <alignment horizontal="center" vertical="center" wrapText="1"/>
    </xf>
    <xf numFmtId="0" fontId="23" fillId="0" borderId="11" xfId="0" applyFont="1" applyBorder="1" applyAlignment="1" applyProtection="1">
      <alignment wrapText="1"/>
    </xf>
    <xf numFmtId="0" fontId="23" fillId="0" borderId="11" xfId="0" applyFont="1" applyBorder="1" applyAlignment="1" applyProtection="1">
      <alignment vertical="center" wrapText="1"/>
    </xf>
    <xf numFmtId="0" fontId="11" fillId="4" borderId="11" xfId="0" applyFont="1" applyFill="1" applyBorder="1" applyAlignment="1" applyProtection="1">
      <alignment horizontal="center" vertical="center" wrapText="1"/>
      <protection locked="0"/>
    </xf>
    <xf numFmtId="2" fontId="0" fillId="4" borderId="4" xfId="0" applyNumberFormat="1" applyFill="1" applyBorder="1" applyAlignment="1" applyProtection="1">
      <alignment horizontal="center" vertical="center" wrapText="1"/>
      <protection locked="0"/>
    </xf>
    <xf numFmtId="3" fontId="0" fillId="0" borderId="14" xfId="0" applyNumberFormat="1" applyBorder="1" applyAlignment="1" applyProtection="1">
      <alignment horizontal="center" vertical="center" wrapText="1"/>
    </xf>
    <xf numFmtId="3" fontId="0" fillId="4" borderId="4" xfId="0" applyNumberFormat="1" applyFill="1" applyBorder="1" applyAlignment="1" applyProtection="1">
      <alignment horizontal="center" vertical="center" wrapText="1"/>
      <protection locked="0"/>
    </xf>
    <xf numFmtId="3" fontId="5" fillId="10" borderId="16" xfId="0" applyNumberFormat="1" applyFont="1" applyFill="1" applyBorder="1" applyAlignment="1" applyProtection="1">
      <alignment horizontal="center" vertical="center" wrapText="1"/>
    </xf>
    <xf numFmtId="3" fontId="0" fillId="4" borderId="11" xfId="0" applyNumberFormat="1" applyFill="1" applyBorder="1" applyAlignment="1" applyProtection="1">
      <alignment horizontal="center" vertical="center" wrapText="1"/>
      <protection locked="0"/>
    </xf>
    <xf numFmtId="4" fontId="0" fillId="0" borderId="11" xfId="0" applyNumberFormat="1" applyFill="1" applyBorder="1" applyAlignment="1" applyProtection="1">
      <alignment horizontal="center" vertical="center" wrapText="1"/>
    </xf>
    <xf numFmtId="4" fontId="0" fillId="4" borderId="11" xfId="0" applyNumberFormat="1" applyFill="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xf>
    <xf numFmtId="4" fontId="0" fillId="0" borderId="15" xfId="0" applyNumberFormat="1" applyFill="1" applyBorder="1" applyAlignment="1" applyProtection="1">
      <alignment horizontal="center" vertical="center" wrapText="1"/>
    </xf>
    <xf numFmtId="3" fontId="0" fillId="0" borderId="11" xfId="0" applyNumberFormat="1" applyBorder="1" applyAlignment="1" applyProtection="1">
      <alignment wrapText="1"/>
    </xf>
    <xf numFmtId="3" fontId="0" fillId="2" borderId="11" xfId="0" applyNumberFormat="1" applyFill="1" applyBorder="1" applyAlignment="1" applyProtection="1">
      <alignment horizontal="center" wrapText="1"/>
    </xf>
    <xf numFmtId="4" fontId="13" fillId="10" borderId="11" xfId="0" applyNumberFormat="1" applyFont="1" applyFill="1" applyBorder="1" applyAlignment="1" applyProtection="1">
      <alignment horizontal="center" vertical="center" wrapText="1"/>
    </xf>
    <xf numFmtId="4" fontId="34" fillId="10" borderId="11" xfId="0" applyNumberFormat="1" applyFont="1" applyFill="1" applyBorder="1" applyAlignment="1" applyProtection="1">
      <alignment horizontal="center" vertical="center" wrapText="1"/>
    </xf>
    <xf numFmtId="4" fontId="33" fillId="4" borderId="15" xfId="0" applyNumberFormat="1" applyFont="1" applyFill="1" applyBorder="1" applyAlignment="1" applyProtection="1">
      <alignment horizontal="center" vertical="center" wrapText="1"/>
      <protection locked="0"/>
    </xf>
    <xf numFmtId="3" fontId="33" fillId="2" borderId="15" xfId="0" applyNumberFormat="1" applyFont="1" applyFill="1" applyBorder="1" applyAlignment="1" applyProtection="1">
      <alignment horizontal="center" vertical="center" wrapText="1"/>
    </xf>
    <xf numFmtId="3" fontId="0" fillId="0" borderId="4" xfId="0" applyNumberFormat="1" applyFill="1" applyBorder="1" applyAlignment="1" applyProtection="1">
      <alignment horizontal="center" vertical="center" wrapText="1"/>
    </xf>
    <xf numFmtId="4" fontId="0" fillId="0" borderId="0" xfId="0" applyNumberFormat="1" applyBorder="1" applyAlignment="1" applyProtection="1">
      <alignment horizontal="center" wrapText="1"/>
    </xf>
    <xf numFmtId="3" fontId="1" fillId="10" borderId="11" xfId="0" applyNumberFormat="1" applyFont="1" applyFill="1" applyBorder="1" applyAlignment="1" applyProtection="1">
      <alignment horizontal="center" vertical="center" wrapText="1"/>
    </xf>
    <xf numFmtId="4" fontId="33" fillId="4" borderId="11" xfId="0" applyNumberFormat="1" applyFont="1" applyFill="1" applyBorder="1" applyAlignment="1" applyProtection="1">
      <alignment horizontal="center" vertical="center" wrapText="1"/>
      <protection locked="0"/>
    </xf>
    <xf numFmtId="4" fontId="33" fillId="9" borderId="11" xfId="0" applyNumberFormat="1" applyFont="1" applyFill="1" applyBorder="1" applyAlignment="1" applyProtection="1">
      <alignment horizontal="center" vertical="center" wrapText="1"/>
      <protection locked="0"/>
    </xf>
    <xf numFmtId="4" fontId="40" fillId="2" borderId="11" xfId="0" applyNumberFormat="1" applyFont="1" applyFill="1" applyBorder="1" applyAlignment="1" applyProtection="1">
      <alignment horizontal="center" vertical="center" wrapText="1"/>
    </xf>
    <xf numFmtId="4" fontId="11" fillId="4" borderId="11" xfId="0" applyNumberFormat="1" applyFont="1" applyFill="1" applyBorder="1" applyAlignment="1" applyProtection="1">
      <alignment horizontal="center" vertical="center" wrapText="1"/>
      <protection locked="0"/>
    </xf>
    <xf numFmtId="4" fontId="0" fillId="4" borderId="15" xfId="0" applyNumberFormat="1" applyFill="1" applyBorder="1" applyAlignment="1" applyProtection="1">
      <alignment horizontal="center" vertical="center" wrapText="1"/>
      <protection locked="0"/>
    </xf>
    <xf numFmtId="4" fontId="33" fillId="2" borderId="11" xfId="0" applyNumberFormat="1" applyFont="1" applyFill="1" applyBorder="1" applyAlignment="1" applyProtection="1">
      <alignment horizontal="center" vertical="center" wrapText="1"/>
    </xf>
    <xf numFmtId="3" fontId="13" fillId="10" borderId="11" xfId="0" applyNumberFormat="1" applyFont="1" applyFill="1" applyBorder="1" applyAlignment="1" applyProtection="1">
      <alignment vertical="center" wrapText="1"/>
    </xf>
    <xf numFmtId="3" fontId="10" fillId="0" borderId="11" xfId="0" applyNumberFormat="1" applyFont="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Border="1" applyAlignment="1">
      <alignment vertical="center" wrapText="1"/>
    </xf>
    <xf numFmtId="0" fontId="0" fillId="0" borderId="0" xfId="0" applyBorder="1" applyAlignment="1" applyProtection="1">
      <alignment vertical="center" wrapText="1"/>
    </xf>
    <xf numFmtId="0" fontId="0" fillId="0" borderId="11" xfId="0" applyFont="1" applyBorder="1" applyAlignment="1" applyProtection="1">
      <alignment vertical="center" wrapText="1"/>
    </xf>
    <xf numFmtId="2" fontId="0" fillId="0" borderId="11" xfId="1" applyNumberFormat="1" applyFont="1" applyFill="1" applyBorder="1" applyAlignment="1" applyProtection="1">
      <alignment horizontal="center" vertical="center" wrapText="1"/>
    </xf>
    <xf numFmtId="0" fontId="23" fillId="0" borderId="5" xfId="0" applyFont="1" applyBorder="1" applyAlignment="1" applyProtection="1">
      <alignment wrapText="1"/>
    </xf>
    <xf numFmtId="4" fontId="0" fillId="0" borderId="0" xfId="0" applyNumberFormat="1" applyBorder="1" applyAlignment="1">
      <alignment horizontal="center" vertical="center" wrapText="1"/>
    </xf>
    <xf numFmtId="3" fontId="16" fillId="10" borderId="11" xfId="0" applyNumberFormat="1" applyFont="1" applyFill="1" applyBorder="1" applyAlignment="1">
      <alignment horizontal="center" vertical="center" wrapText="1"/>
    </xf>
    <xf numFmtId="3" fontId="13" fillId="10" borderId="11" xfId="0" applyNumberFormat="1" applyFont="1" applyFill="1" applyBorder="1" applyAlignment="1" applyProtection="1">
      <alignment horizontal="center" vertical="center" wrapText="1"/>
    </xf>
    <xf numFmtId="3" fontId="0" fillId="2" borderId="2" xfId="0" applyNumberFormat="1" applyFill="1" applyBorder="1" applyAlignment="1" applyProtection="1">
      <alignment horizontal="center" vertical="center" wrapText="1"/>
    </xf>
    <xf numFmtId="4" fontId="0" fillId="0" borderId="0" xfId="0" applyNumberFormat="1" applyBorder="1" applyAlignment="1" applyProtection="1">
      <alignment horizontal="center" vertical="center" wrapText="1"/>
    </xf>
    <xf numFmtId="4" fontId="0" fillId="0" borderId="0" xfId="0" applyNumberFormat="1" applyBorder="1" applyAlignment="1">
      <alignment vertical="center" wrapText="1"/>
    </xf>
    <xf numFmtId="3" fontId="0" fillId="0" borderId="0" xfId="0" applyNumberFormat="1" applyBorder="1" applyAlignment="1" applyProtection="1">
      <alignment horizontal="center" vertical="center" wrapText="1"/>
    </xf>
    <xf numFmtId="0" fontId="10" fillId="0" borderId="11" xfId="0" applyFont="1" applyBorder="1" applyAlignment="1" applyProtection="1">
      <alignment vertical="center" wrapText="1"/>
    </xf>
    <xf numFmtId="0" fontId="0" fillId="0" borderId="5" xfId="0" applyBorder="1" applyAlignment="1" applyProtection="1">
      <alignment vertical="center" wrapText="1"/>
    </xf>
    <xf numFmtId="0" fontId="0" fillId="0" borderId="0" xfId="0" applyBorder="1" applyAlignment="1" applyProtection="1">
      <alignment wrapText="1"/>
    </xf>
    <xf numFmtId="0" fontId="0" fillId="0" borderId="4" xfId="0" applyBorder="1" applyAlignment="1" applyProtection="1">
      <alignment vertical="center" wrapText="1"/>
    </xf>
    <xf numFmtId="0" fontId="13" fillId="10" borderId="11" xfId="0" applyFont="1" applyFill="1" applyBorder="1" applyAlignment="1" applyProtection="1">
      <alignment vertical="center" wrapText="1"/>
    </xf>
    <xf numFmtId="0" fontId="0" fillId="0" borderId="0" xfId="0" applyFont="1" applyBorder="1" applyAlignment="1" applyProtection="1">
      <alignment wrapText="1"/>
    </xf>
    <xf numFmtId="0" fontId="8" fillId="0" borderId="11" xfId="0" applyFont="1" applyBorder="1" applyAlignment="1" applyProtection="1">
      <alignment vertical="center" wrapText="1"/>
    </xf>
    <xf numFmtId="0" fontId="23" fillId="0" borderId="11" xfId="0" applyFont="1" applyBorder="1" applyAlignment="1" applyProtection="1">
      <alignment horizontal="center" vertical="center" wrapText="1"/>
    </xf>
    <xf numFmtId="0" fontId="0" fillId="0" borderId="14" xfId="0" applyBorder="1" applyAlignment="1" applyProtection="1">
      <alignment horizontal="right" vertical="center" wrapText="1"/>
    </xf>
    <xf numFmtId="0" fontId="10" fillId="0" borderId="14" xfId="0" applyFont="1" applyBorder="1" applyAlignment="1" applyProtection="1">
      <alignment vertical="center" wrapText="1"/>
    </xf>
    <xf numFmtId="0" fontId="10" fillId="3" borderId="2" xfId="0" applyFont="1" applyFill="1" applyBorder="1" applyAlignment="1" applyProtection="1">
      <alignment horizontal="center" wrapText="1"/>
    </xf>
    <xf numFmtId="0" fontId="10" fillId="3" borderId="11" xfId="0" applyFont="1" applyFill="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0" fillId="0" borderId="10" xfId="0" applyBorder="1" applyAlignment="1" applyProtection="1">
      <alignment vertical="center" wrapText="1"/>
    </xf>
    <xf numFmtId="0" fontId="19" fillId="0" borderId="16" xfId="0" applyFont="1" applyBorder="1" applyAlignment="1" applyProtection="1">
      <alignment horizontal="left" vertical="center" wrapText="1"/>
    </xf>
    <xf numFmtId="0" fontId="0" fillId="0" borderId="16" xfId="0" applyBorder="1" applyAlignment="1" applyProtection="1">
      <alignment horizontal="left" vertical="center" wrapText="1"/>
    </xf>
    <xf numFmtId="0" fontId="18" fillId="0" borderId="16" xfId="0" applyFont="1" applyBorder="1" applyAlignment="1" applyProtection="1">
      <alignment horizontal="left" vertical="center" wrapText="1"/>
    </xf>
    <xf numFmtId="0" fontId="19"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18" fillId="0" borderId="13" xfId="0" applyFont="1" applyBorder="1" applyAlignment="1" applyProtection="1">
      <alignment horizontal="left" vertical="center" wrapText="1"/>
    </xf>
    <xf numFmtId="0" fontId="0" fillId="0" borderId="13" xfId="0" applyBorder="1" applyAlignment="1" applyProtection="1">
      <alignment vertical="center" wrapText="1"/>
    </xf>
    <xf numFmtId="0" fontId="10" fillId="4" borderId="5" xfId="0" applyFont="1"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1" fontId="0" fillId="0" borderId="5" xfId="0" applyNumberFormat="1"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4" fontId="0" fillId="0" borderId="5" xfId="0" applyNumberFormat="1" applyFill="1" applyBorder="1" applyAlignment="1" applyProtection="1">
      <alignment horizontal="center" vertical="center" wrapText="1"/>
    </xf>
    <xf numFmtId="166" fontId="0" fillId="0" borderId="5" xfId="0" applyNumberForma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wrapText="1"/>
    </xf>
    <xf numFmtId="0" fontId="23" fillId="4" borderId="11" xfId="0" applyFont="1" applyFill="1" applyBorder="1" applyAlignment="1" applyProtection="1">
      <alignment horizontal="center" vertical="center" wrapText="1"/>
      <protection locked="0"/>
    </xf>
    <xf numFmtId="3" fontId="23" fillId="0" borderId="11" xfId="0" applyNumberFormat="1" applyFont="1" applyBorder="1" applyAlignment="1" applyProtection="1">
      <alignment horizontal="center" vertical="center" wrapText="1"/>
    </xf>
    <xf numFmtId="3" fontId="0" fillId="0" borderId="11" xfId="0" applyNumberFormat="1" applyFont="1" applyBorder="1" applyAlignment="1" applyProtection="1">
      <alignment horizontal="center" vertical="center" wrapText="1"/>
    </xf>
    <xf numFmtId="0" fontId="0" fillId="0" borderId="5" xfId="0" applyBorder="1" applyAlignment="1" applyProtection="1">
      <alignment vertical="center" wrapText="1"/>
      <protection locked="0"/>
    </xf>
    <xf numFmtId="0" fontId="22" fillId="4" borderId="11" xfId="0" applyFont="1" applyFill="1" applyBorder="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0" fontId="34" fillId="10" borderId="11" xfId="0" applyFont="1" applyFill="1" applyBorder="1" applyAlignment="1" applyProtection="1">
      <alignment horizontal="center" vertical="center" wrapText="1"/>
    </xf>
    <xf numFmtId="0" fontId="43" fillId="4" borderId="11" xfId="0" applyFont="1" applyFill="1" applyBorder="1" applyAlignment="1" applyProtection="1">
      <alignment horizontal="center" vertical="center" wrapText="1"/>
      <protection locked="0"/>
    </xf>
    <xf numFmtId="2" fontId="43" fillId="4" borderId="11" xfId="0" applyNumberFormat="1"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3" fontId="0" fillId="4" borderId="11" xfId="0" applyNumberFormat="1" applyFill="1" applyBorder="1" applyAlignment="1" applyProtection="1">
      <alignment horizontal="center" wrapText="1"/>
      <protection locked="0"/>
    </xf>
    <xf numFmtId="0" fontId="0" fillId="0" borderId="0" xfId="0" applyBorder="1" applyAlignment="1" applyProtection="1">
      <alignment vertical="center" wrapText="1"/>
      <protection locked="0"/>
    </xf>
    <xf numFmtId="0" fontId="0" fillId="0" borderId="10" xfId="0" applyBorder="1" applyAlignment="1" applyProtection="1">
      <alignment vertical="center" wrapText="1"/>
      <protection locked="0"/>
    </xf>
    <xf numFmtId="4" fontId="13" fillId="10" borderId="11" xfId="0" applyNumberFormat="1" applyFont="1" applyFill="1" applyBorder="1" applyAlignment="1" applyProtection="1">
      <alignment horizontal="center" vertical="center" wrapText="1"/>
      <protection locked="0"/>
    </xf>
    <xf numFmtId="0" fontId="0" fillId="9" borderId="15" xfId="0" applyFill="1" applyBorder="1" applyAlignment="1" applyProtection="1">
      <alignment horizontal="center" vertical="center" wrapText="1"/>
      <protection locked="0"/>
    </xf>
    <xf numFmtId="3" fontId="5" fillId="0" borderId="0" xfId="0" applyNumberFormat="1" applyFont="1" applyFill="1" applyBorder="1" applyAlignment="1" applyProtection="1">
      <alignment horizontal="center" vertical="center" wrapText="1"/>
    </xf>
    <xf numFmtId="0" fontId="13" fillId="0" borderId="0" xfId="0" applyFont="1" applyFill="1" applyBorder="1" applyAlignment="1" applyProtection="1">
      <alignment vertical="center" wrapText="1"/>
    </xf>
    <xf numFmtId="2" fontId="8" fillId="9" borderId="11" xfId="0" applyNumberFormat="1" applyFont="1" applyFill="1" applyBorder="1" applyAlignment="1" applyProtection="1">
      <alignment horizontal="center" vertical="center" wrapText="1"/>
      <protection locked="0"/>
    </xf>
    <xf numFmtId="0" fontId="23" fillId="9" borderId="11" xfId="0" applyFont="1" applyFill="1" applyBorder="1" applyAlignment="1" applyProtection="1">
      <alignment horizontal="center" vertical="center" wrapText="1"/>
      <protection locked="0"/>
    </xf>
    <xf numFmtId="0" fontId="0" fillId="11" borderId="11" xfId="0" applyFill="1" applyBorder="1" applyAlignment="1" applyProtection="1">
      <alignment vertical="center" wrapText="1"/>
    </xf>
    <xf numFmtId="3" fontId="0" fillId="11" borderId="14" xfId="0" applyNumberFormat="1" applyFill="1" applyBorder="1" applyAlignment="1" applyProtection="1">
      <alignment vertical="center" wrapText="1"/>
    </xf>
    <xf numFmtId="0" fontId="38" fillId="10" borderId="11" xfId="0" applyFont="1" applyFill="1" applyBorder="1" applyAlignment="1" applyProtection="1">
      <alignment horizontal="center" vertical="center" wrapText="1"/>
    </xf>
    <xf numFmtId="3" fontId="0" fillId="0" borderId="11" xfId="0" applyNumberFormat="1" applyBorder="1" applyAlignment="1" applyProtection="1">
      <alignment horizontal="center" vertical="center" wrapText="1"/>
    </xf>
    <xf numFmtId="9" fontId="0" fillId="10" borderId="15" xfId="0" applyNumberFormat="1" applyFill="1" applyBorder="1" applyAlignment="1" applyProtection="1">
      <alignment horizontal="center" vertical="center" wrapText="1"/>
    </xf>
    <xf numFmtId="3" fontId="5" fillId="2" borderId="11" xfId="0" applyNumberFormat="1" applyFont="1" applyFill="1" applyBorder="1" applyAlignment="1" applyProtection="1">
      <alignment horizontal="center" vertical="center" wrapText="1"/>
    </xf>
    <xf numFmtId="2" fontId="5" fillId="2" borderId="11" xfId="0" applyNumberFormat="1" applyFont="1" applyFill="1" applyBorder="1" applyAlignment="1" applyProtection="1">
      <alignment horizontal="center" vertical="center" wrapText="1"/>
    </xf>
    <xf numFmtId="0" fontId="5" fillId="2" borderId="11" xfId="0" applyFont="1" applyFill="1" applyBorder="1" applyAlignment="1" applyProtection="1">
      <alignment vertical="center" wrapText="1"/>
    </xf>
    <xf numFmtId="0" fontId="0" fillId="11" borderId="11" xfId="0" applyFill="1" applyBorder="1" applyAlignment="1" applyProtection="1">
      <alignment wrapText="1"/>
    </xf>
    <xf numFmtId="164" fontId="0" fillId="11" borderId="15" xfId="0" applyNumberFormat="1" applyFill="1" applyBorder="1" applyAlignment="1">
      <alignment horizontal="center" vertical="center" wrapText="1"/>
    </xf>
    <xf numFmtId="1" fontId="0" fillId="2" borderId="9" xfId="0" applyNumberFormat="1" applyFill="1" applyBorder="1" applyAlignment="1">
      <alignment horizontal="center" vertical="center" wrapText="1"/>
    </xf>
    <xf numFmtId="0" fontId="0" fillId="8" borderId="16" xfId="0"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3" fontId="0" fillId="0" borderId="11" xfId="0" applyNumberFormat="1" applyBorder="1" applyAlignment="1" applyProtection="1">
      <alignment horizontal="center" vertical="center" wrapText="1"/>
    </xf>
    <xf numFmtId="0" fontId="0" fillId="0" borderId="0" xfId="0" applyBorder="1" applyAlignment="1" applyProtection="1">
      <alignment wrapText="1"/>
    </xf>
    <xf numFmtId="3" fontId="0" fillId="0" borderId="11" xfId="0" applyNumberFormat="1" applyFill="1" applyBorder="1" applyAlignment="1" applyProtection="1">
      <alignment horizontal="center" vertical="center" wrapText="1"/>
    </xf>
    <xf numFmtId="0" fontId="0" fillId="0" borderId="4" xfId="0" applyBorder="1" applyAlignment="1">
      <alignment wrapText="1"/>
    </xf>
    <xf numFmtId="0" fontId="47" fillId="0" borderId="5" xfId="0" applyFont="1" applyBorder="1" applyAlignment="1">
      <alignment vertical="center" wrapText="1"/>
    </xf>
    <xf numFmtId="0" fontId="0" fillId="0" borderId="14" xfId="0" applyFill="1" applyBorder="1" applyAlignment="1">
      <alignment horizontal="center" vertical="center" wrapText="1"/>
    </xf>
    <xf numFmtId="165" fontId="0" fillId="8" borderId="16" xfId="0" applyNumberFormat="1" applyFill="1" applyBorder="1" applyAlignment="1">
      <alignment horizontal="center" vertical="center" wrapText="1"/>
    </xf>
    <xf numFmtId="0" fontId="47" fillId="0" borderId="23" xfId="0" applyFont="1" applyBorder="1" applyAlignment="1">
      <alignment vertical="center" wrapText="1"/>
    </xf>
    <xf numFmtId="2" fontId="0" fillId="0" borderId="17" xfId="0" applyNumberFormat="1" applyFill="1" applyBorder="1" applyAlignment="1">
      <alignment horizontal="center" vertical="center" wrapText="1"/>
    </xf>
    <xf numFmtId="1" fontId="0" fillId="2" borderId="24" xfId="0" applyNumberFormat="1" applyFill="1" applyBorder="1" applyAlignment="1">
      <alignment horizontal="center" vertical="center" wrapText="1"/>
    </xf>
    <xf numFmtId="164" fontId="0" fillId="11" borderId="25" xfId="0" applyNumberFormat="1" applyFill="1" applyBorder="1" applyAlignment="1">
      <alignment horizontal="center" vertical="center" wrapText="1"/>
    </xf>
    <xf numFmtId="164" fontId="0" fillId="11" borderId="27" xfId="0" applyNumberFormat="1" applyFill="1" applyBorder="1" applyAlignment="1">
      <alignment horizontal="center" vertical="center" wrapText="1"/>
    </xf>
    <xf numFmtId="1" fontId="0" fillId="0" borderId="27" xfId="0" applyNumberFormat="1" applyFill="1" applyBorder="1" applyAlignment="1">
      <alignment horizontal="center" vertical="center" wrapText="1"/>
    </xf>
    <xf numFmtId="0" fontId="47" fillId="0" borderId="30" xfId="0" applyFont="1" applyBorder="1" applyAlignment="1">
      <alignment vertical="center" wrapText="1"/>
    </xf>
    <xf numFmtId="2" fontId="15" fillId="0" borderId="31" xfId="0" applyNumberFormat="1" applyFont="1" applyBorder="1" applyAlignment="1">
      <alignment horizontal="center" vertical="center" wrapText="1"/>
    </xf>
    <xf numFmtId="3" fontId="15" fillId="10" borderId="31" xfId="0" applyNumberFormat="1" applyFont="1" applyFill="1" applyBorder="1" applyAlignment="1" applyProtection="1">
      <alignment horizontal="center" vertical="center" wrapText="1"/>
    </xf>
    <xf numFmtId="3" fontId="15" fillId="10" borderId="32" xfId="0" applyNumberFormat="1" applyFont="1" applyFill="1" applyBorder="1" applyAlignment="1" applyProtection="1">
      <alignment horizontal="center" vertical="center" wrapText="1"/>
    </xf>
    <xf numFmtId="0" fontId="27" fillId="0" borderId="11" xfId="0" applyFont="1" applyFill="1" applyBorder="1" applyAlignment="1">
      <alignment horizontal="center" vertical="center" wrapText="1"/>
    </xf>
    <xf numFmtId="0" fontId="48" fillId="0" borderId="0" xfId="0" applyFont="1"/>
    <xf numFmtId="2" fontId="0" fillId="4" borderId="3" xfId="0" applyNumberFormat="1" applyFill="1" applyBorder="1" applyAlignment="1" applyProtection="1">
      <alignment horizontal="center" vertical="center" wrapText="1"/>
      <protection locked="0"/>
    </xf>
    <xf numFmtId="0" fontId="26" fillId="4" borderId="11" xfId="0" applyFont="1" applyFill="1" applyBorder="1" applyAlignment="1" applyProtection="1">
      <alignment vertical="center" wrapText="1"/>
      <protection locked="0"/>
    </xf>
    <xf numFmtId="0" fontId="26" fillId="4" borderId="14" xfId="0" applyFont="1" applyFill="1" applyBorder="1" applyAlignment="1" applyProtection="1">
      <alignment vertical="center" wrapText="1"/>
      <protection locked="0"/>
    </xf>
    <xf numFmtId="2" fontId="0" fillId="0" borderId="3" xfId="0" applyNumberFormat="1" applyBorder="1" applyAlignment="1" applyProtection="1">
      <alignment horizontal="center" vertical="center" wrapText="1"/>
    </xf>
    <xf numFmtId="3" fontId="5" fillId="10" borderId="5" xfId="0" applyNumberFormat="1" applyFont="1" applyFill="1" applyBorder="1" applyAlignment="1" applyProtection="1">
      <alignment horizontal="center" vertical="center" wrapText="1"/>
    </xf>
    <xf numFmtId="0" fontId="0" fillId="0" borderId="11"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0" fillId="0" borderId="0" xfId="0" applyBorder="1" applyAlignment="1" applyProtection="1">
      <alignment wrapText="1"/>
    </xf>
    <xf numFmtId="0" fontId="5" fillId="10" borderId="11" xfId="0" applyFont="1" applyFill="1" applyBorder="1" applyAlignment="1" applyProtection="1">
      <alignment wrapText="1"/>
    </xf>
    <xf numFmtId="0" fontId="0" fillId="0" borderId="11" xfId="0" applyFill="1" applyBorder="1" applyAlignment="1" applyProtection="1">
      <alignment horizontal="center" vertical="center" wrapText="1"/>
    </xf>
    <xf numFmtId="0" fontId="0" fillId="0" borderId="3" xfId="0" applyBorder="1" applyAlignment="1" applyProtection="1">
      <alignment wrapText="1"/>
    </xf>
    <xf numFmtId="0" fontId="23" fillId="0" borderId="0" xfId="0" applyFont="1" applyBorder="1" applyAlignment="1" applyProtection="1">
      <alignment horizontal="left" wrapText="1"/>
    </xf>
    <xf numFmtId="0" fontId="8" fillId="0" borderId="0" xfId="0" applyFont="1" applyBorder="1" applyAlignment="1" applyProtection="1">
      <alignment horizontal="center" vertical="center" wrapText="1"/>
    </xf>
    <xf numFmtId="0" fontId="0" fillId="0" borderId="0" xfId="0" applyBorder="1" applyAlignment="1" applyProtection="1">
      <alignment wrapText="1"/>
    </xf>
    <xf numFmtId="0" fontId="0" fillId="0" borderId="4" xfId="0" applyBorder="1" applyAlignment="1" applyProtection="1">
      <alignment wrapText="1"/>
    </xf>
    <xf numFmtId="0" fontId="10" fillId="0" borderId="4" xfId="0" applyFont="1" applyBorder="1" applyAlignment="1" applyProtection="1">
      <alignment horizontal="center" wrapText="1"/>
    </xf>
    <xf numFmtId="4" fontId="5" fillId="0" borderId="0" xfId="0" applyNumberFormat="1" applyFont="1" applyFill="1" applyBorder="1" applyAlignment="1" applyProtection="1">
      <alignment horizontal="center" wrapText="1"/>
    </xf>
    <xf numFmtId="0" fontId="5" fillId="0" borderId="0" xfId="0" applyFont="1" applyFill="1" applyBorder="1" applyAlignment="1" applyProtection="1">
      <alignment wrapText="1"/>
    </xf>
    <xf numFmtId="0" fontId="23" fillId="13" borderId="11" xfId="0" applyFont="1" applyFill="1" applyBorder="1" applyAlignment="1" applyProtection="1">
      <alignment horizontal="center" vertical="center" wrapText="1"/>
    </xf>
    <xf numFmtId="2" fontId="0" fillId="13" borderId="11" xfId="0" applyNumberFormat="1" applyFill="1" applyBorder="1" applyAlignment="1" applyProtection="1">
      <alignment horizontal="center" vertical="center" wrapText="1"/>
    </xf>
    <xf numFmtId="3" fontId="5" fillId="13" borderId="5" xfId="0" applyNumberFormat="1" applyFont="1" applyFill="1" applyBorder="1" applyAlignment="1" applyProtection="1">
      <alignment horizontal="center" vertical="center" wrapText="1"/>
    </xf>
    <xf numFmtId="0" fontId="5" fillId="13" borderId="11" xfId="0" applyFont="1" applyFill="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2" xfId="0" applyFont="1" applyBorder="1" applyAlignment="1" applyProtection="1">
      <alignment horizontal="left" wrapText="1"/>
    </xf>
    <xf numFmtId="0" fontId="35" fillId="0" borderId="2" xfId="0" applyFont="1" applyBorder="1" applyAlignment="1" applyProtection="1">
      <alignment horizontal="center" vertical="center" wrapText="1"/>
    </xf>
    <xf numFmtId="0" fontId="50" fillId="0" borderId="2" xfId="0" applyFont="1" applyBorder="1" applyAlignment="1">
      <alignment horizontal="left" vertical="top" wrapText="1"/>
    </xf>
    <xf numFmtId="0" fontId="16" fillId="0" borderId="11" xfId="0" applyFont="1" applyBorder="1" applyAlignment="1" applyProtection="1">
      <alignment horizontal="center" wrapText="1"/>
    </xf>
    <xf numFmtId="0" fontId="29" fillId="0" borderId="0" xfId="0" applyFont="1" applyBorder="1" applyAlignment="1">
      <alignment horizontal="left" vertical="top" wrapText="1"/>
    </xf>
    <xf numFmtId="0" fontId="5" fillId="14" borderId="11" xfId="0" applyFont="1" applyFill="1" applyBorder="1" applyAlignment="1" applyProtection="1">
      <alignment horizontal="right" wrapText="1"/>
    </xf>
    <xf numFmtId="0" fontId="0" fillId="0" borderId="4" xfId="0" applyFont="1" applyBorder="1" applyAlignment="1" applyProtection="1">
      <alignment wrapText="1"/>
    </xf>
    <xf numFmtId="0" fontId="0" fillId="0" borderId="5" xfId="0" applyFont="1" applyBorder="1" applyAlignment="1" applyProtection="1">
      <alignment wrapText="1"/>
    </xf>
    <xf numFmtId="3" fontId="0" fillId="0" borderId="5" xfId="0" applyNumberFormat="1" applyFill="1" applyBorder="1" applyAlignment="1" applyProtection="1">
      <alignment horizontal="center" vertical="center" wrapText="1"/>
    </xf>
    <xf numFmtId="0" fontId="0" fillId="0" borderId="15" xfId="0" applyBorder="1" applyAlignment="1" applyProtection="1">
      <alignment horizontal="right" wrapText="1"/>
    </xf>
    <xf numFmtId="0" fontId="0" fillId="0" borderId="0" xfId="0" applyBorder="1" applyAlignment="1" applyProtection="1">
      <alignment wrapText="1"/>
    </xf>
    <xf numFmtId="0" fontId="0" fillId="0" borderId="11" xfId="0"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3" borderId="36" xfId="0" applyFont="1" applyFill="1" applyBorder="1" applyAlignment="1" applyProtection="1">
      <alignment horizontal="center" vertical="center" wrapText="1"/>
    </xf>
    <xf numFmtId="0" fontId="0" fillId="3" borderId="37" xfId="0" applyFont="1" applyFill="1" applyBorder="1" applyAlignment="1" applyProtection="1">
      <alignment horizontal="center" vertical="center" wrapText="1"/>
    </xf>
    <xf numFmtId="0" fontId="0" fillId="3" borderId="38" xfId="0" applyFont="1" applyFill="1" applyBorder="1" applyAlignment="1" applyProtection="1">
      <alignment horizontal="center" vertical="center" wrapText="1"/>
    </xf>
    <xf numFmtId="0" fontId="0" fillId="0" borderId="39" xfId="0" applyFill="1" applyBorder="1" applyAlignment="1" applyProtection="1">
      <alignment horizontal="center" vertical="center" wrapText="1"/>
    </xf>
    <xf numFmtId="0" fontId="0" fillId="0" borderId="41" xfId="0" applyFill="1" applyBorder="1" applyAlignment="1" applyProtection="1">
      <alignment horizontal="center" vertical="center" wrapText="1"/>
    </xf>
    <xf numFmtId="2" fontId="0" fillId="0" borderId="40" xfId="0" applyNumberFormat="1" applyFill="1" applyBorder="1" applyAlignment="1" applyProtection="1">
      <alignment horizontal="center" vertical="center" wrapText="1"/>
    </xf>
    <xf numFmtId="2" fontId="0" fillId="0" borderId="31" xfId="0" applyNumberFormat="1" applyFill="1" applyBorder="1" applyAlignment="1" applyProtection="1">
      <alignment horizontal="center" vertical="center" wrapText="1"/>
    </xf>
    <xf numFmtId="2" fontId="0" fillId="0" borderId="32" xfId="0" applyNumberForma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3" fontId="0" fillId="0" borderId="11" xfId="0" applyNumberFormat="1" applyFill="1" applyBorder="1" applyAlignment="1" applyProtection="1">
      <alignment horizontal="center" vertical="center" wrapText="1"/>
    </xf>
    <xf numFmtId="4" fontId="11" fillId="4" borderId="15" xfId="0" applyNumberFormat="1" applyFont="1" applyFill="1" applyBorder="1" applyAlignment="1" applyProtection="1">
      <alignment horizontal="center" vertical="center" wrapText="1"/>
      <protection locked="0"/>
    </xf>
    <xf numFmtId="4" fontId="0" fillId="0" borderId="11" xfId="0" applyNumberFormat="1" applyFont="1" applyBorder="1" applyAlignment="1" applyProtection="1">
      <alignment horizontal="center" vertical="center" wrapText="1"/>
    </xf>
    <xf numFmtId="0" fontId="0" fillId="4" borderId="10" xfId="0" applyFill="1" applyBorder="1" applyAlignment="1" applyProtection="1">
      <alignment wrapText="1"/>
      <protection locked="0"/>
    </xf>
    <xf numFmtId="2" fontId="0" fillId="12" borderId="14" xfId="0" applyNumberFormat="1" applyFill="1" applyBorder="1" applyAlignment="1" applyProtection="1">
      <alignment horizontal="center" vertical="center" wrapText="1"/>
      <protection locked="0"/>
    </xf>
    <xf numFmtId="9" fontId="0" fillId="13" borderId="11" xfId="1" applyFont="1" applyFill="1" applyBorder="1" applyAlignment="1" applyProtection="1">
      <alignment horizontal="center" vertical="center" wrapText="1"/>
    </xf>
    <xf numFmtId="2" fontId="5" fillId="0" borderId="11" xfId="0" applyNumberFormat="1" applyFont="1" applyBorder="1" applyAlignment="1" applyProtection="1">
      <alignment horizontal="center" vertical="center" wrapText="1"/>
    </xf>
    <xf numFmtId="9" fontId="0" fillId="0" borderId="0" xfId="0" applyNumberFormat="1" applyAlignment="1">
      <alignment horizontal="center" vertical="center"/>
    </xf>
    <xf numFmtId="14" fontId="0" fillId="0" borderId="0" xfId="0" applyNumberFormat="1"/>
    <xf numFmtId="0" fontId="0" fillId="0" borderId="5" xfId="0" applyBorder="1" applyAlignment="1" applyProtection="1">
      <alignment vertical="center" wrapText="1"/>
    </xf>
    <xf numFmtId="0" fontId="0" fillId="0" borderId="0" xfId="0" applyBorder="1" applyAlignment="1" applyProtection="1">
      <alignment horizontal="center" vertical="center" wrapText="1"/>
    </xf>
    <xf numFmtId="0" fontId="23" fillId="0" borderId="11" xfId="0" applyFont="1" applyBorder="1" applyAlignment="1" applyProtection="1">
      <alignment vertical="center" wrapText="1"/>
    </xf>
    <xf numFmtId="0" fontId="8" fillId="0" borderId="11" xfId="0" applyFont="1" applyBorder="1" applyAlignment="1" applyProtection="1">
      <alignment vertical="center" wrapText="1"/>
    </xf>
    <xf numFmtId="0" fontId="0" fillId="0" borderId="11" xfId="0" applyFont="1" applyBorder="1" applyAlignment="1" applyProtection="1">
      <alignment vertical="center" wrapText="1"/>
    </xf>
    <xf numFmtId="0" fontId="5" fillId="10" borderId="11" xfId="0" applyFont="1" applyFill="1" applyBorder="1" applyAlignment="1" applyProtection="1">
      <alignment vertical="center" wrapText="1"/>
    </xf>
    <xf numFmtId="0" fontId="10" fillId="0" borderId="11" xfId="0" applyFont="1" applyBorder="1" applyAlignment="1" applyProtection="1">
      <alignment vertical="center" wrapText="1"/>
    </xf>
    <xf numFmtId="0" fontId="0" fillId="0" borderId="11" xfId="0" applyBorder="1" applyAlignment="1" applyProtection="1">
      <alignment vertical="center" wrapText="1"/>
    </xf>
    <xf numFmtId="0" fontId="23" fillId="0" borderId="0" xfId="0" applyFont="1" applyBorder="1" applyAlignment="1" applyProtection="1">
      <alignment horizontal="left" wrapText="1"/>
    </xf>
    <xf numFmtId="0" fontId="8" fillId="0" borderId="0" xfId="0" applyFont="1" applyBorder="1" applyAlignment="1" applyProtection="1">
      <alignment horizontal="center" vertical="center" wrapText="1"/>
    </xf>
    <xf numFmtId="0" fontId="29" fillId="0" borderId="0" xfId="0" applyFont="1" applyBorder="1" applyAlignment="1">
      <alignment horizontal="left" vertical="top" wrapText="1"/>
    </xf>
    <xf numFmtId="0" fontId="0" fillId="0" borderId="11" xfId="0" applyBorder="1" applyAlignment="1" applyProtection="1">
      <alignment horizontal="center" vertical="center" wrapText="1"/>
    </xf>
    <xf numFmtId="0" fontId="0" fillId="4" borderId="11" xfId="0" applyFill="1" applyBorder="1" applyAlignment="1" applyProtection="1">
      <alignment horizontal="center" vertical="center" wrapText="1"/>
      <protection locked="0"/>
    </xf>
    <xf numFmtId="0" fontId="10" fillId="0" borderId="0" xfId="0" applyFont="1" applyBorder="1" applyAlignment="1" applyProtection="1">
      <alignment horizontal="center" wrapText="1"/>
    </xf>
    <xf numFmtId="3" fontId="0" fillId="0" borderId="11" xfId="0" applyNumberFormat="1" applyBorder="1" applyAlignment="1" applyProtection="1">
      <alignment horizontal="center" vertical="center" wrapText="1"/>
    </xf>
    <xf numFmtId="0" fontId="0" fillId="3" borderId="0" xfId="0" applyFill="1" applyBorder="1" applyAlignment="1" applyProtection="1">
      <alignment horizontal="center" wrapText="1"/>
    </xf>
    <xf numFmtId="0" fontId="0" fillId="0" borderId="0" xfId="0" applyBorder="1" applyAlignment="1" applyProtection="1">
      <alignment wrapText="1"/>
    </xf>
    <xf numFmtId="0" fontId="0" fillId="0" borderId="0" xfId="0" applyFill="1" applyBorder="1" applyAlignment="1" applyProtection="1">
      <alignment vertical="center" wrapText="1"/>
    </xf>
    <xf numFmtId="0" fontId="10" fillId="0" borderId="11" xfId="0" applyFont="1" applyBorder="1" applyAlignment="1" applyProtection="1">
      <alignment horizontal="left" vertical="center" wrapText="1"/>
    </xf>
    <xf numFmtId="0" fontId="10"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11" xfId="0" applyBorder="1" applyAlignment="1" applyProtection="1">
      <alignment horizontal="left" vertical="center" wrapText="1"/>
    </xf>
    <xf numFmtId="0" fontId="19" fillId="0" borderId="11" xfId="0" applyFont="1" applyBorder="1" applyAlignment="1" applyProtection="1">
      <alignment horizontal="left" vertical="center" wrapText="1"/>
    </xf>
    <xf numFmtId="0" fontId="10" fillId="0" borderId="11" xfId="0" applyFont="1" applyBorder="1" applyAlignment="1" applyProtection="1">
      <alignment wrapText="1"/>
    </xf>
    <xf numFmtId="0" fontId="0" fillId="0" borderId="11" xfId="0" applyBorder="1" applyAlignment="1" applyProtection="1">
      <alignment wrapText="1"/>
    </xf>
    <xf numFmtId="0" fontId="0" fillId="0" borderId="4" xfId="0" applyBorder="1" applyAlignment="1" applyProtection="1">
      <alignment vertical="center" wrapText="1"/>
    </xf>
    <xf numFmtId="0" fontId="0" fillId="0" borderId="11" xfId="0" applyFill="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1" xfId="0" applyFont="1" applyBorder="1" applyAlignment="1" applyProtection="1">
      <alignment horizontal="center" wrapText="1"/>
    </xf>
    <xf numFmtId="0" fontId="13" fillId="10" borderId="11" xfId="0" applyFont="1" applyFill="1" applyBorder="1" applyAlignment="1" applyProtection="1">
      <alignment vertical="center" wrapText="1"/>
    </xf>
    <xf numFmtId="0" fontId="0" fillId="0" borderId="0" xfId="0" applyFont="1" applyBorder="1" applyAlignment="1" applyProtection="1">
      <alignment wrapText="1"/>
    </xf>
    <xf numFmtId="0" fontId="19" fillId="0" borderId="11" xfId="0" applyFont="1" applyBorder="1" applyAlignment="1" applyProtection="1">
      <alignment vertical="center" wrapText="1"/>
    </xf>
    <xf numFmtId="0" fontId="10" fillId="0" borderId="14" xfId="0" applyFont="1" applyBorder="1" applyAlignment="1" applyProtection="1">
      <alignment horizontal="left" vertical="center" wrapText="1"/>
    </xf>
    <xf numFmtId="0" fontId="30" fillId="0" borderId="11" xfId="0" applyFont="1" applyBorder="1" applyAlignment="1" applyProtection="1">
      <alignment vertical="center" wrapText="1"/>
    </xf>
    <xf numFmtId="0" fontId="8" fillId="0" borderId="11" xfId="0" applyFont="1" applyBorder="1" applyAlignment="1" applyProtection="1">
      <alignment horizontal="left" vertical="center" wrapText="1"/>
    </xf>
    <xf numFmtId="0" fontId="24" fillId="3" borderId="0" xfId="0" applyFont="1" applyFill="1" applyBorder="1" applyAlignment="1" applyProtection="1">
      <alignment horizontal="center" wrapText="1"/>
    </xf>
    <xf numFmtId="164" fontId="24" fillId="3" borderId="0" xfId="0" applyNumberFormat="1" applyFont="1" applyFill="1" applyBorder="1" applyAlignment="1" applyProtection="1">
      <alignment horizontal="center" wrapText="1"/>
    </xf>
    <xf numFmtId="0" fontId="8" fillId="0" borderId="5" xfId="0" applyFont="1" applyBorder="1" applyAlignment="1" applyProtection="1">
      <alignment horizontal="center" vertical="center" wrapText="1"/>
    </xf>
    <xf numFmtId="0" fontId="23" fillId="0" borderId="11" xfId="0" applyFont="1" applyBorder="1" applyAlignment="1" applyProtection="1">
      <alignment horizontal="center" vertical="center" wrapText="1"/>
    </xf>
    <xf numFmtId="0" fontId="23" fillId="0" borderId="11" xfId="0" applyFont="1" applyBorder="1" applyAlignment="1" applyProtection="1">
      <alignment horizontal="left" vertical="center" wrapText="1"/>
    </xf>
    <xf numFmtId="0" fontId="0" fillId="9" borderId="11" xfId="0"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10" fillId="0" borderId="5" xfId="0" applyFont="1" applyBorder="1" applyAlignment="1" applyProtection="1">
      <alignment vertical="center" wrapText="1"/>
    </xf>
    <xf numFmtId="0" fontId="0" fillId="0" borderId="3" xfId="0" applyBorder="1" applyAlignment="1" applyProtection="1">
      <alignment vertical="center" wrapText="1"/>
    </xf>
    <xf numFmtId="0" fontId="5" fillId="3" borderId="7"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1" xfId="0" applyBorder="1" applyAlignment="1">
      <alignment vertical="center" wrapText="1"/>
    </xf>
    <xf numFmtId="0" fontId="0" fillId="0" borderId="0" xfId="0" applyBorder="1" applyAlignment="1">
      <alignment vertical="center" wrapText="1"/>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0" fillId="0" borderId="11" xfId="0" applyBorder="1" applyAlignment="1" applyProtection="1">
      <alignment vertical="center" wrapText="1"/>
    </xf>
    <xf numFmtId="0" fontId="0" fillId="0" borderId="3" xfId="0" applyBorder="1" applyAlignment="1" applyProtection="1">
      <alignment horizontal="center" vertical="center" wrapText="1"/>
    </xf>
    <xf numFmtId="0" fontId="0" fillId="4" borderId="11"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23" fillId="0" borderId="11" xfId="0" applyFont="1" applyBorder="1" applyAlignment="1" applyProtection="1">
      <alignment vertical="center" wrapText="1"/>
    </xf>
    <xf numFmtId="0" fontId="8" fillId="0" borderId="11" xfId="0" applyFont="1" applyBorder="1" applyAlignment="1" applyProtection="1">
      <alignment vertical="center" wrapText="1"/>
    </xf>
    <xf numFmtId="0" fontId="13" fillId="10" borderId="11" xfId="0" applyFont="1" applyFill="1" applyBorder="1" applyAlignment="1" applyProtection="1">
      <alignment horizontal="left" vertical="center" wrapText="1"/>
    </xf>
    <xf numFmtId="3" fontId="0" fillId="0" borderId="11" xfId="0" applyNumberFormat="1" applyBorder="1" applyAlignment="1" applyProtection="1">
      <alignment horizontal="center" vertical="center" wrapText="1"/>
    </xf>
    <xf numFmtId="0" fontId="5" fillId="10" borderId="11" xfId="0" applyFont="1" applyFill="1" applyBorder="1" applyAlignment="1" applyProtection="1">
      <alignment vertical="center" wrapText="1"/>
    </xf>
    <xf numFmtId="0" fontId="10" fillId="0" borderId="11" xfId="0" applyFont="1" applyBorder="1" applyAlignment="1" applyProtection="1">
      <alignment vertical="center" wrapText="1"/>
    </xf>
    <xf numFmtId="0" fontId="0" fillId="0" borderId="0" xfId="0" applyBorder="1" applyAlignment="1" applyProtection="1">
      <alignment wrapText="1"/>
    </xf>
    <xf numFmtId="0" fontId="10" fillId="0" borderId="0" xfId="0" applyFont="1" applyBorder="1" applyAlignment="1" applyProtection="1">
      <alignment horizontal="left" vertical="center" wrapText="1"/>
    </xf>
    <xf numFmtId="0" fontId="0" fillId="3" borderId="0" xfId="0" applyFill="1" applyBorder="1" applyAlignment="1" applyProtection="1">
      <alignment horizontal="center" wrapText="1"/>
    </xf>
    <xf numFmtId="0" fontId="0" fillId="0" borderId="0" xfId="0" applyBorder="1" applyAlignment="1" applyProtection="1">
      <alignment horizontal="left" vertical="center" wrapText="1"/>
    </xf>
    <xf numFmtId="0" fontId="0" fillId="0" borderId="0" xfId="0"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11" xfId="0" applyFont="1" applyBorder="1" applyAlignment="1" applyProtection="1">
      <alignment horizontal="left" vertical="center" wrapText="1"/>
    </xf>
    <xf numFmtId="0" fontId="5" fillId="3" borderId="11" xfId="0" applyFont="1" applyFill="1" applyBorder="1" applyAlignment="1" applyProtection="1">
      <alignment horizontal="center" vertical="center" wrapText="1"/>
    </xf>
    <xf numFmtId="0" fontId="0" fillId="0" borderId="11" xfId="0" applyBorder="1" applyAlignment="1" applyProtection="1">
      <alignment horizontal="left" vertical="center" wrapText="1"/>
    </xf>
    <xf numFmtId="0" fontId="0" fillId="0" borderId="7" xfId="0" applyBorder="1" applyAlignment="1" applyProtection="1">
      <alignment horizontal="center" vertical="center" wrapText="1"/>
    </xf>
    <xf numFmtId="0" fontId="0" fillId="0" borderId="13" xfId="0" applyBorder="1" applyAlignment="1" applyProtection="1">
      <alignment horizontal="center" vertical="center" wrapText="1"/>
    </xf>
    <xf numFmtId="0" fontId="10"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4" xfId="0" applyBorder="1" applyAlignment="1" applyProtection="1">
      <alignment vertical="center" wrapText="1"/>
    </xf>
    <xf numFmtId="0" fontId="10" fillId="0" borderId="11" xfId="0" applyFont="1" applyBorder="1" applyAlignment="1" applyProtection="1">
      <alignment wrapText="1"/>
    </xf>
    <xf numFmtId="0" fontId="5" fillId="10" borderId="11" xfId="0" applyFont="1" applyFill="1" applyBorder="1" applyAlignment="1" applyProtection="1">
      <alignment horizontal="left" vertical="center" wrapText="1"/>
    </xf>
    <xf numFmtId="0" fontId="0" fillId="0" borderId="11" xfId="0" applyFill="1" applyBorder="1" applyAlignment="1" applyProtection="1">
      <alignment horizontal="center" vertical="center" wrapText="1"/>
    </xf>
    <xf numFmtId="0" fontId="10" fillId="0" borderId="11" xfId="0" applyFont="1" applyFill="1" applyBorder="1" applyAlignment="1" applyProtection="1">
      <alignment horizontal="left" vertical="center" wrapText="1"/>
    </xf>
    <xf numFmtId="0" fontId="5" fillId="3" borderId="0"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5" fillId="10" borderId="3" xfId="0" applyFont="1" applyFill="1" applyBorder="1" applyAlignment="1" applyProtection="1">
      <alignment vertical="center" wrapText="1"/>
    </xf>
    <xf numFmtId="0" fontId="13" fillId="10" borderId="11" xfId="0" applyFont="1" applyFill="1" applyBorder="1" applyAlignment="1" applyProtection="1">
      <alignmen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9" fillId="0" borderId="3" xfId="0" applyFont="1" applyBorder="1" applyAlignment="1" applyProtection="1">
      <alignment vertical="center" wrapText="1"/>
    </xf>
    <xf numFmtId="0" fontId="19" fillId="0" borderId="4" xfId="0" applyFont="1" applyBorder="1" applyAlignment="1" applyProtection="1">
      <alignment vertical="center" wrapText="1"/>
    </xf>
    <xf numFmtId="0" fontId="19" fillId="0" borderId="5" xfId="0" applyFont="1" applyBorder="1" applyAlignment="1" applyProtection="1">
      <alignment vertical="center" wrapText="1"/>
    </xf>
    <xf numFmtId="3" fontId="0" fillId="0" borderId="11" xfId="0" applyNumberForma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8" fillId="0" borderId="5" xfId="0" applyFont="1" applyBorder="1" applyAlignment="1" applyProtection="1">
      <alignment horizontal="center" vertical="center" wrapText="1"/>
    </xf>
    <xf numFmtId="0" fontId="23" fillId="0" borderId="11" xfId="0" applyFont="1" applyBorder="1" applyAlignment="1" applyProtection="1">
      <alignment horizontal="left" vertical="center" wrapText="1"/>
    </xf>
    <xf numFmtId="0" fontId="24" fillId="3" borderId="0" xfId="0" applyFont="1" applyFill="1" applyBorder="1" applyAlignment="1" applyProtection="1">
      <alignment horizontal="center" wrapText="1"/>
    </xf>
    <xf numFmtId="0" fontId="30" fillId="0" borderId="11" xfId="0" applyFont="1" applyBorder="1" applyAlignment="1" applyProtection="1">
      <alignment vertical="center" wrapText="1"/>
    </xf>
    <xf numFmtId="164" fontId="24" fillId="3" borderId="0" xfId="0" applyNumberFormat="1" applyFont="1" applyFill="1" applyBorder="1" applyAlignment="1" applyProtection="1">
      <alignment horizontal="center" wrapText="1"/>
    </xf>
    <xf numFmtId="0" fontId="8" fillId="0" borderId="3" xfId="0" applyFont="1" applyBorder="1" applyAlignment="1" applyProtection="1">
      <alignment vertical="center" wrapText="1"/>
    </xf>
    <xf numFmtId="0" fontId="8" fillId="0" borderId="11" xfId="0" applyFont="1" applyBorder="1" applyAlignment="1" applyProtection="1">
      <alignment horizontal="left" vertical="center" wrapText="1"/>
    </xf>
    <xf numFmtId="2" fontId="19" fillId="0" borderId="4" xfId="0" applyNumberFormat="1" applyFont="1" applyBorder="1" applyAlignment="1" applyProtection="1">
      <alignment vertical="center" wrapText="1"/>
    </xf>
    <xf numFmtId="2" fontId="19" fillId="0" borderId="5" xfId="0" applyNumberFormat="1" applyFont="1" applyBorder="1" applyAlignment="1" applyProtection="1">
      <alignment vertical="center" wrapText="1"/>
    </xf>
    <xf numFmtId="2" fontId="0" fillId="0" borderId="14" xfId="0" applyNumberFormat="1" applyBorder="1" applyAlignment="1" applyProtection="1">
      <alignment horizontal="center" vertical="center" wrapText="1"/>
    </xf>
    <xf numFmtId="4" fontId="0" fillId="0" borderId="14" xfId="0" applyNumberFormat="1" applyBorder="1" applyAlignment="1" applyProtection="1">
      <alignment horizontal="center" vertical="center" wrapText="1"/>
    </xf>
    <xf numFmtId="0" fontId="10" fillId="0" borderId="15" xfId="0" applyFont="1" applyBorder="1" applyAlignment="1" applyProtection="1">
      <alignment horizontal="center" vertical="center" wrapText="1"/>
    </xf>
    <xf numFmtId="2" fontId="19" fillId="0" borderId="2" xfId="0" applyNumberFormat="1" applyFont="1" applyBorder="1" applyAlignment="1" applyProtection="1">
      <alignment vertical="center" wrapText="1"/>
    </xf>
    <xf numFmtId="2" fontId="19" fillId="0" borderId="10" xfId="0" applyNumberFormat="1" applyFont="1" applyBorder="1" applyAlignment="1" applyProtection="1">
      <alignment vertical="center" wrapText="1"/>
    </xf>
    <xf numFmtId="0" fontId="5" fillId="14" borderId="11" xfId="0" applyFont="1" applyFill="1" applyBorder="1" applyAlignment="1" applyProtection="1">
      <alignment horizontal="right" vertical="center" wrapText="1"/>
    </xf>
    <xf numFmtId="0" fontId="16" fillId="0" borderId="11" xfId="0" applyFont="1" applyBorder="1" applyAlignment="1" applyProtection="1">
      <alignment horizontal="center" vertical="center" wrapText="1"/>
    </xf>
    <xf numFmtId="0" fontId="5" fillId="0" borderId="11" xfId="0" applyFont="1" applyBorder="1" applyAlignment="1" applyProtection="1">
      <alignment vertical="center" wrapText="1"/>
    </xf>
    <xf numFmtId="0" fontId="0" fillId="0" borderId="0" xfId="0" applyFont="1" applyBorder="1" applyAlignment="1" applyProtection="1">
      <alignment vertical="center" wrapText="1"/>
    </xf>
    <xf numFmtId="0" fontId="7" fillId="0" borderId="0" xfId="0" applyFont="1" applyBorder="1" applyAlignment="1" applyProtection="1">
      <alignment horizontal="left" vertical="center" wrapText="1"/>
    </xf>
    <xf numFmtId="0" fontId="0" fillId="0" borderId="2" xfId="0" applyFont="1" applyBorder="1" applyAlignment="1" applyProtection="1">
      <alignment vertical="center" wrapText="1"/>
    </xf>
    <xf numFmtId="0" fontId="0" fillId="0" borderId="8" xfId="0" applyBorder="1" applyAlignment="1" applyProtection="1">
      <alignment vertical="center" wrapText="1"/>
    </xf>
    <xf numFmtId="0" fontId="0" fillId="0" borderId="8"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0" fillId="0" borderId="0" xfId="0" applyFont="1" applyBorder="1" applyAlignment="1" applyProtection="1">
      <alignment horizontal="left" vertical="center" wrapText="1"/>
    </xf>
    <xf numFmtId="0" fontId="10" fillId="0" borderId="14" xfId="0" applyFont="1" applyBorder="1" applyAlignment="1" applyProtection="1">
      <alignment horizontal="center" wrapText="1"/>
    </xf>
    <xf numFmtId="0" fontId="10" fillId="0" borderId="7" xfId="0" applyFont="1" applyBorder="1" applyAlignment="1" applyProtection="1">
      <alignment horizontal="center" wrapText="1"/>
    </xf>
    <xf numFmtId="0" fontId="23" fillId="0" borderId="11" xfId="0" applyFont="1" applyBorder="1" applyAlignment="1" applyProtection="1">
      <alignment vertical="center" wrapText="1"/>
    </xf>
    <xf numFmtId="0" fontId="8" fillId="0" borderId="11" xfId="0" applyFont="1" applyBorder="1" applyAlignment="1" applyProtection="1">
      <alignment vertical="center" wrapText="1"/>
    </xf>
    <xf numFmtId="2" fontId="0" fillId="0" borderId="15" xfId="0" applyNumberFormat="1" applyBorder="1" applyAlignment="1" applyProtection="1">
      <alignment horizontal="center" vertical="center" wrapText="1"/>
    </xf>
    <xf numFmtId="4" fontId="0" fillId="0" borderId="15" xfId="0" applyNumberFormat="1" applyBorder="1" applyAlignment="1" applyProtection="1">
      <alignment horizontal="center" vertical="center" wrapText="1"/>
    </xf>
    <xf numFmtId="0" fontId="32" fillId="3" borderId="4" xfId="0" applyFont="1" applyFill="1" applyBorder="1" applyAlignment="1" applyProtection="1">
      <alignment horizontal="center" vertical="center" wrapText="1"/>
    </xf>
    <xf numFmtId="0" fontId="0" fillId="0" borderId="0" xfId="0" applyBorder="1" applyAlignment="1">
      <alignment horizontal="left" vertical="center" wrapText="1"/>
    </xf>
    <xf numFmtId="0" fontId="32" fillId="3" borderId="7" xfId="0" applyFont="1" applyFill="1" applyBorder="1" applyAlignment="1" applyProtection="1">
      <alignment horizontal="center" vertical="center" wrapText="1"/>
    </xf>
    <xf numFmtId="2" fontId="0" fillId="0" borderId="0" xfId="0" applyNumberFormat="1" applyBorder="1" applyAlignment="1" applyProtection="1">
      <alignment horizontal="center" vertical="center" wrapText="1"/>
    </xf>
    <xf numFmtId="4" fontId="34" fillId="10" borderId="14" xfId="0" applyNumberFormat="1" applyFont="1" applyFill="1" applyBorder="1" applyAlignment="1" applyProtection="1">
      <alignment horizontal="center" vertical="center" wrapText="1"/>
    </xf>
    <xf numFmtId="0" fontId="5" fillId="14" borderId="15" xfId="0" applyFont="1" applyFill="1" applyBorder="1" applyAlignment="1" applyProtection="1">
      <alignment horizontal="right" vertical="center" wrapText="1"/>
    </xf>
    <xf numFmtId="0" fontId="16" fillId="0" borderId="15" xfId="0" applyFont="1" applyBorder="1" applyAlignment="1" applyProtection="1">
      <alignment horizontal="center" vertical="center" wrapText="1"/>
    </xf>
    <xf numFmtId="0" fontId="34" fillId="0" borderId="7" xfId="0" applyFont="1" applyFill="1" applyBorder="1" applyAlignment="1" applyProtection="1">
      <alignment horizontal="right" vertical="center" wrapText="1"/>
    </xf>
    <xf numFmtId="4" fontId="34" fillId="0" borderId="7" xfId="0" applyNumberFormat="1" applyFont="1" applyFill="1" applyBorder="1" applyAlignment="1" applyProtection="1">
      <alignment horizontal="center" vertical="center" wrapText="1"/>
    </xf>
    <xf numFmtId="0" fontId="38" fillId="0" borderId="7" xfId="0" applyFont="1" applyFill="1" applyBorder="1" applyAlignment="1" applyProtection="1">
      <alignment horizontal="left" vertical="center" wrapText="1"/>
    </xf>
    <xf numFmtId="0" fontId="30" fillId="0" borderId="3" xfId="0" applyFont="1" applyBorder="1" applyAlignment="1" applyProtection="1">
      <alignment vertical="center" wrapText="1"/>
    </xf>
    <xf numFmtId="0" fontId="30" fillId="0" borderId="4" xfId="0" applyFont="1" applyBorder="1" applyAlignment="1" applyProtection="1">
      <alignment vertical="center" wrapText="1"/>
    </xf>
    <xf numFmtId="0" fontId="30" fillId="0" borderId="5" xfId="0" applyFont="1" applyBorder="1" applyAlignment="1" applyProtection="1">
      <alignment vertical="center" wrapText="1"/>
    </xf>
    <xf numFmtId="0" fontId="8" fillId="0" borderId="3" xfId="0" applyFont="1" applyBorder="1" applyAlignment="1" applyProtection="1">
      <alignment wrapText="1"/>
    </xf>
    <xf numFmtId="0" fontId="30" fillId="0" borderId="0" xfId="0" applyFont="1" applyBorder="1" applyAlignment="1" applyProtection="1">
      <alignment vertical="center" wrapText="1"/>
    </xf>
    <xf numFmtId="0" fontId="30" fillId="0" borderId="0" xfId="0" applyFont="1" applyBorder="1" applyAlignment="1" applyProtection="1">
      <alignment wrapText="1"/>
    </xf>
    <xf numFmtId="0" fontId="8" fillId="0" borderId="0" xfId="0" applyFont="1" applyBorder="1" applyAlignment="1" applyProtection="1">
      <alignment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30" fillId="0" borderId="12" xfId="0" applyFont="1" applyBorder="1" applyAlignment="1" applyProtection="1">
      <alignment vertical="center" wrapText="1"/>
    </xf>
    <xf numFmtId="0" fontId="30" fillId="0" borderId="13" xfId="0" applyFont="1" applyBorder="1" applyAlignment="1" applyProtection="1">
      <alignment vertical="center" wrapText="1"/>
    </xf>
    <xf numFmtId="0" fontId="30" fillId="0" borderId="12" xfId="0" applyFont="1" applyBorder="1" applyAlignment="1" applyProtection="1">
      <alignment wrapText="1"/>
    </xf>
    <xf numFmtId="0" fontId="30" fillId="0" borderId="13" xfId="0" applyFont="1" applyBorder="1" applyAlignment="1" applyProtection="1">
      <alignment wrapText="1"/>
    </xf>
    <xf numFmtId="0" fontId="8" fillId="0" borderId="12" xfId="0" applyFont="1" applyBorder="1" applyAlignment="1" applyProtection="1">
      <alignment wrapText="1"/>
    </xf>
    <xf numFmtId="0" fontId="8" fillId="0" borderId="13" xfId="0" applyFont="1" applyBorder="1" applyAlignment="1" applyProtection="1">
      <alignment wrapText="1"/>
    </xf>
    <xf numFmtId="0" fontId="30" fillId="0" borderId="9" xfId="0" applyFont="1" applyBorder="1" applyAlignment="1" applyProtection="1">
      <alignment wrapText="1"/>
    </xf>
    <xf numFmtId="0" fontId="30" fillId="0" borderId="2" xfId="0" applyFont="1" applyBorder="1" applyAlignment="1" applyProtection="1">
      <alignment wrapText="1"/>
    </xf>
    <xf numFmtId="0" fontId="30" fillId="0" borderId="10" xfId="0" applyFont="1" applyBorder="1" applyAlignment="1" applyProtection="1">
      <alignment wrapText="1"/>
    </xf>
    <xf numFmtId="3" fontId="13" fillId="10" borderId="14" xfId="0" applyNumberFormat="1" applyFont="1" applyFill="1" applyBorder="1" applyAlignment="1" applyProtection="1">
      <alignment horizontal="center" vertical="center" wrapText="1"/>
    </xf>
    <xf numFmtId="0" fontId="13" fillId="10" borderId="14" xfId="0" applyFont="1" applyFill="1" applyBorder="1" applyAlignment="1" applyProtection="1">
      <alignment horizontal="left" vertical="center" wrapText="1"/>
    </xf>
    <xf numFmtId="0" fontId="16" fillId="0" borderId="7" xfId="0" applyFont="1" applyFill="1" applyBorder="1" applyAlignment="1">
      <alignment horizontal="left" vertical="center" wrapText="1"/>
    </xf>
    <xf numFmtId="3" fontId="13" fillId="0" borderId="7" xfId="0" applyNumberFormat="1" applyFont="1" applyFill="1" applyBorder="1" applyAlignment="1" applyProtection="1">
      <alignment horizontal="center" vertical="center" wrapText="1"/>
    </xf>
    <xf numFmtId="0" fontId="13" fillId="0" borderId="7" xfId="0" applyFont="1" applyFill="1" applyBorder="1" applyAlignment="1" applyProtection="1">
      <alignment horizontal="left" vertical="center" wrapText="1"/>
    </xf>
    <xf numFmtId="0" fontId="0" fillId="0" borderId="7" xfId="0" applyFill="1" applyBorder="1" applyAlignment="1">
      <alignment horizontal="center" wrapText="1"/>
    </xf>
    <xf numFmtId="0" fontId="0" fillId="0" borderId="0" xfId="0" applyFont="1" applyBorder="1" applyAlignment="1" applyProtection="1">
      <alignment horizontal="center" vertical="center" wrapText="1"/>
    </xf>
    <xf numFmtId="0" fontId="0" fillId="0" borderId="0" xfId="0" applyBorder="1" applyAlignment="1" applyProtection="1">
      <alignment horizontal="right" vertical="center" wrapText="1"/>
    </xf>
    <xf numFmtId="4" fontId="0" fillId="0" borderId="0" xfId="0" applyNumberFormat="1" applyBorder="1" applyAlignment="1" applyProtection="1">
      <alignment vertical="center" wrapText="1"/>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xf>
    <xf numFmtId="9" fontId="0" fillId="2" borderId="0" xfId="1" applyFont="1" applyFill="1" applyBorder="1" applyAlignment="1" applyProtection="1">
      <alignment horizontal="center" vertical="center" wrapText="1"/>
    </xf>
    <xf numFmtId="2" fontId="0" fillId="2" borderId="0" xfId="0" applyNumberFormat="1" applyFill="1" applyBorder="1" applyAlignment="1" applyProtection="1">
      <alignment horizontal="center" vertical="center" wrapText="1"/>
    </xf>
    <xf numFmtId="1" fontId="0" fillId="2" borderId="0" xfId="0" applyNumberFormat="1" applyFill="1" applyBorder="1" applyAlignment="1" applyProtection="1">
      <alignment horizontal="center" vertical="center" wrapText="1"/>
    </xf>
    <xf numFmtId="0" fontId="0" fillId="0" borderId="9" xfId="0" applyBorder="1" applyAlignment="1" applyProtection="1">
      <alignment vertical="center" wrapText="1"/>
    </xf>
    <xf numFmtId="0" fontId="0" fillId="0" borderId="7" xfId="0" applyBorder="1" applyAlignment="1" applyProtection="1">
      <alignment vertical="center" wrapText="1"/>
    </xf>
    <xf numFmtId="0" fontId="0" fillId="0" borderId="6" xfId="0" applyBorder="1" applyAlignment="1" applyProtection="1">
      <alignment vertical="center" wrapText="1"/>
    </xf>
    <xf numFmtId="0" fontId="0" fillId="0" borderId="12" xfId="0" applyBorder="1" applyAlignment="1" applyProtection="1">
      <alignment vertical="center" wrapText="1"/>
    </xf>
    <xf numFmtId="0" fontId="0" fillId="0" borderId="2" xfId="0" applyBorder="1" applyAlignment="1" applyProtection="1">
      <alignment vertical="center" wrapText="1"/>
    </xf>
    <xf numFmtId="1" fontId="0" fillId="4" borderId="11" xfId="0" applyNumberFormat="1" applyFill="1" applyBorder="1" applyAlignment="1" applyProtection="1">
      <alignment vertical="center" wrapText="1"/>
      <protection locked="0"/>
    </xf>
    <xf numFmtId="0" fontId="0" fillId="4" borderId="11" xfId="0" applyFill="1" applyBorder="1" applyAlignment="1" applyProtection="1">
      <alignment vertical="center" wrapText="1"/>
      <protection locked="0"/>
    </xf>
    <xf numFmtId="2" fontId="0" fillId="4" borderId="11" xfId="0" applyNumberFormat="1" applyFill="1" applyBorder="1" applyAlignment="1" applyProtection="1">
      <alignment vertical="center" wrapText="1"/>
      <protection locked="0"/>
    </xf>
    <xf numFmtId="9" fontId="0" fillId="4" borderId="11" xfId="1" applyFont="1" applyFill="1" applyBorder="1" applyAlignment="1" applyProtection="1">
      <alignment vertical="center" wrapText="1"/>
      <protection locked="0"/>
    </xf>
    <xf numFmtId="3" fontId="0" fillId="0" borderId="0" xfId="0" applyNumberFormat="1" applyBorder="1" applyAlignment="1" applyProtection="1">
      <alignment vertical="center" wrapText="1"/>
    </xf>
    <xf numFmtId="3" fontId="0" fillId="0" borderId="11" xfId="0" applyNumberFormat="1" applyBorder="1" applyAlignment="1" applyProtection="1">
      <alignment vertical="center" wrapText="1"/>
    </xf>
    <xf numFmtId="0" fontId="33" fillId="0" borderId="0" xfId="0" applyFont="1" applyBorder="1" applyAlignment="1" applyProtection="1">
      <alignment vertical="center" wrapText="1"/>
    </xf>
    <xf numFmtId="0" fontId="0" fillId="2" borderId="14" xfId="0"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0" fillId="0" borderId="9" xfId="0" applyBorder="1" applyAlignment="1" applyProtection="1">
      <alignment horizontal="center" vertical="center" wrapText="1"/>
    </xf>
    <xf numFmtId="2" fontId="5" fillId="0" borderId="11" xfId="0" applyNumberFormat="1" applyFont="1" applyBorder="1" applyAlignment="1" applyProtection="1">
      <alignment horizontal="center" wrapText="1"/>
    </xf>
    <xf numFmtId="0" fontId="0" fillId="4" borderId="11" xfId="0" applyFill="1" applyBorder="1" applyAlignment="1" applyProtection="1">
      <alignment horizontal="center" vertical="center" wrapText="1"/>
      <protection locked="0"/>
    </xf>
    <xf numFmtId="2" fontId="0" fillId="4" borderId="14" xfId="0" applyNumberFormat="1" applyFill="1" applyBorder="1" applyAlignment="1" applyProtection="1">
      <alignment horizontal="center" vertical="center" wrapText="1"/>
      <protection locked="0"/>
    </xf>
    <xf numFmtId="164" fontId="0" fillId="4" borderId="11" xfId="0" applyNumberFormat="1" applyFill="1" applyBorder="1" applyAlignment="1" applyProtection="1">
      <alignment horizontal="center" vertical="center" wrapText="1"/>
      <protection locked="0"/>
    </xf>
    <xf numFmtId="164" fontId="0" fillId="4" borderId="14" xfId="0" applyNumberFormat="1" applyFill="1" applyBorder="1" applyAlignment="1" applyProtection="1">
      <alignment horizontal="center" vertical="center" wrapText="1"/>
      <protection locked="0"/>
    </xf>
    <xf numFmtId="14" fontId="0" fillId="0" borderId="0" xfId="0" applyNumberFormat="1" applyAlignment="1">
      <alignment vertical="center"/>
    </xf>
    <xf numFmtId="0" fontId="5" fillId="3" borderId="3" xfId="0" applyFont="1" applyFill="1" applyBorder="1" applyAlignment="1" applyProtection="1">
      <alignment horizontal="center" wrapText="1"/>
    </xf>
    <xf numFmtId="0" fontId="5" fillId="3" borderId="4" xfId="0" applyFont="1" applyFill="1" applyBorder="1" applyAlignment="1" applyProtection="1">
      <alignment horizontal="center" wrapText="1"/>
    </xf>
    <xf numFmtId="0" fontId="5" fillId="3" borderId="5" xfId="0" applyFont="1" applyFill="1" applyBorder="1" applyAlignment="1" applyProtection="1">
      <alignment horizontal="center" wrapText="1"/>
    </xf>
    <xf numFmtId="0" fontId="5" fillId="3" borderId="11" xfId="0" applyFont="1" applyFill="1" applyBorder="1" applyAlignment="1" applyProtection="1">
      <alignment horizontal="center" wrapText="1"/>
    </xf>
    <xf numFmtId="0" fontId="0" fillId="0" borderId="4" xfId="0" applyBorder="1" applyAlignment="1" applyProtection="1">
      <alignment horizontal="center" wrapText="1"/>
    </xf>
    <xf numFmtId="0" fontId="0" fillId="0" borderId="2" xfId="0" applyBorder="1" applyAlignment="1" applyProtection="1">
      <alignment horizontal="center" wrapText="1"/>
    </xf>
    <xf numFmtId="0" fontId="0" fillId="0" borderId="6" xfId="0" applyBorder="1" applyAlignment="1" applyProtection="1">
      <alignment horizontal="left" wrapText="1"/>
    </xf>
    <xf numFmtId="0" fontId="0" fillId="0" borderId="7" xfId="0" applyBorder="1" applyAlignment="1" applyProtection="1">
      <alignment horizontal="left" wrapText="1"/>
    </xf>
    <xf numFmtId="0" fontId="0" fillId="0" borderId="9" xfId="0" applyBorder="1" applyAlignment="1" applyProtection="1">
      <alignment horizontal="left" wrapText="1"/>
    </xf>
    <xf numFmtId="0" fontId="0" fillId="0" borderId="2" xfId="0" applyBorder="1" applyAlignment="1" applyProtection="1">
      <alignment horizontal="left" wrapText="1"/>
    </xf>
    <xf numFmtId="0" fontId="0" fillId="0" borderId="3" xfId="0" applyBorder="1" applyAlignment="1" applyProtection="1">
      <alignment vertical="center" wrapText="1"/>
    </xf>
    <xf numFmtId="0" fontId="0" fillId="0" borderId="5" xfId="0" applyBorder="1" applyAlignment="1" applyProtection="1">
      <alignment vertical="center" wrapText="1"/>
    </xf>
    <xf numFmtId="0" fontId="0" fillId="3" borderId="6"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10" fillId="0" borderId="3" xfId="0" applyFont="1" applyBorder="1" applyAlignment="1" applyProtection="1">
      <alignment vertical="center" wrapText="1"/>
    </xf>
    <xf numFmtId="0" fontId="10" fillId="0" borderId="4" xfId="0" applyFont="1" applyBorder="1" applyAlignment="1" applyProtection="1">
      <alignment vertical="center" wrapText="1"/>
    </xf>
    <xf numFmtId="0" fontId="10" fillId="0" borderId="5" xfId="0" applyFont="1" applyBorder="1" applyAlignment="1" applyProtection="1">
      <alignment vertical="center" wrapText="1"/>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5" fillId="0" borderId="3" xfId="0" applyFont="1" applyBorder="1" applyAlignment="1" applyProtection="1">
      <alignment wrapText="1"/>
    </xf>
    <xf numFmtId="0" fontId="5" fillId="0" borderId="5" xfId="0" applyFont="1" applyBorder="1" applyAlignment="1" applyProtection="1">
      <alignment wrapText="1"/>
    </xf>
    <xf numFmtId="0" fontId="19" fillId="0" borderId="0" xfId="0" applyFont="1" applyBorder="1" applyAlignment="1" applyProtection="1">
      <alignment horizontal="center" vertical="center" wrapText="1"/>
      <protection locked="0" hidden="1"/>
    </xf>
    <xf numFmtId="0" fontId="19" fillId="0" borderId="9" xfId="0" applyFont="1" applyBorder="1" applyAlignment="1" applyProtection="1">
      <alignment horizontal="center" vertical="center" wrapText="1"/>
      <protection locked="0" hidden="1"/>
    </xf>
    <xf numFmtId="0" fontId="19" fillId="0" borderId="2" xfId="0" applyFont="1" applyBorder="1" applyAlignment="1" applyProtection="1">
      <alignment horizontal="center" vertical="center" wrapText="1"/>
      <protection locked="0" hidden="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0" fillId="0" borderId="3" xfId="0" applyNumberFormat="1" applyBorder="1" applyAlignment="1" applyProtection="1">
      <alignment vertical="center" wrapText="1"/>
    </xf>
    <xf numFmtId="0" fontId="0" fillId="0" borderId="5" xfId="0" applyNumberFormat="1" applyBorder="1" applyAlignment="1" applyProtection="1">
      <alignment vertical="center" wrapText="1"/>
    </xf>
    <xf numFmtId="0" fontId="0" fillId="0" borderId="3" xfId="0" applyBorder="1" applyAlignment="1" applyProtection="1">
      <alignment wrapText="1"/>
    </xf>
    <xf numFmtId="0" fontId="0" fillId="0" borderId="5" xfId="0" applyBorder="1" applyAlignment="1" applyProtection="1">
      <alignment wrapText="1"/>
    </xf>
    <xf numFmtId="0" fontId="0" fillId="0" borderId="3"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3" xfId="0" applyFont="1" applyBorder="1" applyAlignment="1" applyProtection="1">
      <alignment vertical="center" wrapText="1"/>
    </xf>
    <xf numFmtId="0" fontId="0" fillId="0" borderId="5" xfId="0" applyFont="1" applyBorder="1" applyAlignment="1" applyProtection="1">
      <alignment vertical="center" wrapText="1"/>
    </xf>
    <xf numFmtId="0" fontId="5" fillId="3" borderId="33" xfId="0" applyFont="1" applyFill="1" applyBorder="1" applyAlignment="1" applyProtection="1">
      <alignment horizontal="center" wrapText="1"/>
    </xf>
    <xf numFmtId="0" fontId="5" fillId="3" borderId="17" xfId="0" applyFont="1" applyFill="1" applyBorder="1" applyAlignment="1" applyProtection="1">
      <alignment horizontal="center" wrapText="1"/>
    </xf>
    <xf numFmtId="0" fontId="5" fillId="3" borderId="34" xfId="0" applyFont="1" applyFill="1" applyBorder="1" applyAlignment="1" applyProtection="1">
      <alignment horizontal="center" wrapText="1"/>
    </xf>
    <xf numFmtId="0" fontId="15" fillId="0" borderId="26"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15" fillId="0" borderId="28" xfId="0" applyFont="1" applyFill="1" applyBorder="1" applyAlignment="1">
      <alignment horizontal="right" vertical="center" wrapText="1"/>
    </xf>
    <xf numFmtId="0" fontId="15" fillId="0" borderId="29" xfId="0" applyFont="1" applyFill="1" applyBorder="1" applyAlignment="1">
      <alignment horizontal="right" vertical="center" wrapText="1"/>
    </xf>
    <xf numFmtId="0" fontId="34" fillId="7"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textRotation="90" wrapText="1"/>
    </xf>
    <xf numFmtId="0" fontId="0" fillId="0" borderId="16" xfId="0" applyBorder="1" applyAlignment="1">
      <alignment horizontal="center" vertical="center" textRotation="90" wrapText="1"/>
    </xf>
    <xf numFmtId="0" fontId="0" fillId="0" borderId="15" xfId="0" applyBorder="1" applyAlignment="1">
      <alignment horizontal="center" vertical="center" textRotation="90" wrapText="1"/>
    </xf>
    <xf numFmtId="0" fontId="15" fillId="0" borderId="21" xfId="0" applyFont="1" applyFill="1" applyBorder="1" applyAlignment="1">
      <alignment horizontal="right" vertical="center" wrapText="1"/>
    </xf>
    <xf numFmtId="0" fontId="15" fillId="0" borderId="22" xfId="0" applyFont="1" applyFill="1" applyBorder="1" applyAlignment="1">
      <alignment horizontal="right" vertical="center" wrapText="1"/>
    </xf>
    <xf numFmtId="0" fontId="0" fillId="0" borderId="0" xfId="0" applyBorder="1" applyAlignment="1" applyProtection="1">
      <alignment horizontal="center" vertical="center" wrapText="1"/>
    </xf>
    <xf numFmtId="0" fontId="5" fillId="3" borderId="11" xfId="0" applyFont="1" applyFill="1" applyBorder="1" applyAlignment="1" applyProtection="1">
      <alignment wrapText="1"/>
    </xf>
    <xf numFmtId="0" fontId="5" fillId="0" borderId="11" xfId="0" applyFont="1" applyBorder="1" applyAlignment="1">
      <alignment wrapText="1"/>
    </xf>
    <xf numFmtId="0" fontId="5" fillId="3" borderId="11" xfId="0" applyFont="1" applyFill="1" applyBorder="1" applyAlignment="1" applyProtection="1">
      <alignment vertical="center" wrapText="1"/>
    </xf>
    <xf numFmtId="0" fontId="5" fillId="0" borderId="11" xfId="0" applyFont="1" applyBorder="1" applyAlignment="1">
      <alignment vertical="center" wrapText="1"/>
    </xf>
    <xf numFmtId="165" fontId="34" fillId="10" borderId="3" xfId="0" applyNumberFormat="1" applyFont="1" applyFill="1" applyBorder="1" applyAlignment="1">
      <alignment horizontal="center" vertical="center" wrapText="1"/>
    </xf>
    <xf numFmtId="165" fontId="34" fillId="10" borderId="5" xfId="0" applyNumberFormat="1" applyFont="1" applyFill="1" applyBorder="1" applyAlignment="1">
      <alignment horizontal="center" vertical="center" wrapText="1"/>
    </xf>
    <xf numFmtId="165" fontId="11" fillId="10" borderId="3" xfId="0" applyNumberFormat="1" applyFont="1" applyFill="1" applyBorder="1" applyAlignment="1">
      <alignment horizontal="center" vertical="center" wrapText="1"/>
    </xf>
    <xf numFmtId="165" fontId="11" fillId="10" borderId="5" xfId="0" applyNumberFormat="1" applyFont="1" applyFill="1" applyBorder="1" applyAlignment="1">
      <alignment horizontal="center" vertical="center" wrapText="1"/>
    </xf>
    <xf numFmtId="0" fontId="0" fillId="0" borderId="11" xfId="0" applyBorder="1" applyAlignment="1">
      <alignment horizontal="left" vertical="center" wrapText="1"/>
    </xf>
    <xf numFmtId="0" fontId="5" fillId="3" borderId="11" xfId="0" applyFont="1" applyFill="1"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165" fontId="17" fillId="0" borderId="2" xfId="0" applyNumberFormat="1" applyFont="1" applyFill="1" applyBorder="1" applyAlignment="1">
      <alignment horizontal="center" vertical="center" wrapText="1"/>
    </xf>
    <xf numFmtId="165" fontId="17" fillId="0" borderId="10" xfId="0" applyNumberFormat="1" applyFont="1" applyFill="1" applyBorder="1" applyAlignment="1">
      <alignment horizontal="center" vertical="center" wrapText="1"/>
    </xf>
    <xf numFmtId="0" fontId="17" fillId="0" borderId="11" xfId="0" applyFont="1" applyBorder="1" applyAlignment="1">
      <alignment horizontal="left" vertical="center" wrapText="1"/>
    </xf>
    <xf numFmtId="0" fontId="0" fillId="0" borderId="7" xfId="0" applyBorder="1" applyAlignment="1">
      <alignment horizontal="center" vertical="center" wrapText="1"/>
    </xf>
    <xf numFmtId="0" fontId="34" fillId="3" borderId="11" xfId="0" applyFont="1" applyFill="1" applyBorder="1" applyAlignment="1">
      <alignment horizontal="center" vertical="center" wrapText="1"/>
    </xf>
    <xf numFmtId="0" fontId="39" fillId="2" borderId="6" xfId="0" applyFont="1" applyFill="1" applyBorder="1" applyAlignment="1" applyProtection="1">
      <alignment horizontal="center" vertical="center" wrapText="1"/>
    </xf>
    <xf numFmtId="0" fontId="0" fillId="0" borderId="9" xfId="0" applyFont="1" applyBorder="1" applyAlignment="1" applyProtection="1">
      <alignment vertical="center" wrapText="1"/>
    </xf>
    <xf numFmtId="0" fontId="0" fillId="5" borderId="14" xfId="0" applyFill="1" applyBorder="1" applyAlignment="1" applyProtection="1">
      <alignment horizontal="center" vertical="center" wrapText="1"/>
      <protection locked="0"/>
    </xf>
    <xf numFmtId="0" fontId="0" fillId="0" borderId="15" xfId="0" applyBorder="1" applyAlignment="1" applyProtection="1">
      <alignment wrapText="1"/>
      <protection locked="0"/>
    </xf>
    <xf numFmtId="0" fontId="0" fillId="0" borderId="11" xfId="0" applyBorder="1" applyAlignment="1" applyProtection="1">
      <alignment vertical="center" wrapText="1"/>
    </xf>
    <xf numFmtId="0" fontId="19" fillId="0" borderId="3"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5" xfId="0"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23" fillId="9" borderId="3" xfId="0" applyFont="1" applyFill="1" applyBorder="1" applyAlignment="1" applyProtection="1">
      <alignment horizontal="center" vertical="center" wrapText="1"/>
      <protection locked="0"/>
    </xf>
    <xf numFmtId="0" fontId="23" fillId="9" borderId="5" xfId="0" applyFont="1" applyFill="1" applyBorder="1" applyAlignment="1" applyProtection="1">
      <alignment horizontal="center" vertical="center" wrapText="1"/>
      <protection locked="0"/>
    </xf>
    <xf numFmtId="0" fontId="13" fillId="0" borderId="0" xfId="0" applyFont="1" applyBorder="1" applyAlignment="1" applyProtection="1">
      <alignment horizontal="center" wrapText="1"/>
    </xf>
    <xf numFmtId="0" fontId="5" fillId="0" borderId="0" xfId="0" applyFont="1" applyBorder="1" applyAlignment="1" applyProtection="1">
      <alignment horizontal="center" wrapText="1"/>
    </xf>
    <xf numFmtId="0" fontId="23" fillId="0" borderId="0" xfId="0" applyFont="1" applyBorder="1" applyAlignment="1" applyProtection="1">
      <alignment horizontal="left" wrapText="1"/>
    </xf>
    <xf numFmtId="0" fontId="8" fillId="0" borderId="0" xfId="0" applyFont="1" applyBorder="1" applyAlignment="1" applyProtection="1">
      <alignment horizontal="center" vertical="center" wrapText="1"/>
    </xf>
    <xf numFmtId="0" fontId="29" fillId="0" borderId="0" xfId="0" applyFont="1" applyAlignment="1">
      <alignment horizontal="left" vertical="top" wrapText="1"/>
    </xf>
    <xf numFmtId="0" fontId="29" fillId="0" borderId="0" xfId="0" applyFont="1" applyBorder="1" applyAlignment="1">
      <alignment horizontal="left" vertical="top" wrapText="1"/>
    </xf>
    <xf numFmtId="0" fontId="23" fillId="0" borderId="0" xfId="0" applyFont="1" applyBorder="1" applyAlignment="1" applyProtection="1">
      <alignment horizontal="center" vertical="center" wrapText="1"/>
    </xf>
    <xf numFmtId="0" fontId="33" fillId="0" borderId="3" xfId="0" applyFont="1" applyFill="1" applyBorder="1" applyAlignment="1" applyProtection="1">
      <alignment horizontal="left" vertical="center" wrapText="1"/>
    </xf>
    <xf numFmtId="0" fontId="33" fillId="0" borderId="5" xfId="0" applyFont="1" applyFill="1" applyBorder="1" applyAlignment="1" applyProtection="1">
      <alignment horizontal="left" vertical="center" wrapText="1"/>
    </xf>
    <xf numFmtId="0" fontId="33" fillId="0" borderId="3" xfId="0" applyFont="1" applyBorder="1" applyAlignment="1" applyProtection="1">
      <alignment horizontal="left" vertical="center" wrapText="1"/>
    </xf>
    <xf numFmtId="0" fontId="33" fillId="0" borderId="5" xfId="0" applyFont="1" applyBorder="1" applyAlignment="1" applyProtection="1">
      <alignment horizontal="left" vertical="center" wrapText="1"/>
    </xf>
    <xf numFmtId="0" fontId="0" fillId="0" borderId="11" xfId="0" applyFont="1" applyFill="1" applyBorder="1" applyAlignment="1" applyProtection="1">
      <alignment vertical="center" wrapText="1"/>
    </xf>
    <xf numFmtId="0" fontId="0" fillId="0" borderId="11" xfId="0" applyFont="1" applyBorder="1" applyAlignment="1">
      <alignment vertical="center" wrapText="1"/>
    </xf>
    <xf numFmtId="0" fontId="30" fillId="0" borderId="11" xfId="0" applyFont="1" applyBorder="1" applyAlignment="1" applyProtection="1">
      <alignment horizontal="left" vertical="center" wrapText="1"/>
    </xf>
    <xf numFmtId="0" fontId="30" fillId="0" borderId="11" xfId="0" applyFont="1" applyBorder="1" applyAlignment="1">
      <alignment horizontal="left" vertical="center" wrapText="1"/>
    </xf>
    <xf numFmtId="0" fontId="44" fillId="0" borderId="11" xfId="0" applyFont="1" applyBorder="1" applyAlignment="1">
      <alignment horizontal="left" vertical="center" wrapText="1"/>
    </xf>
    <xf numFmtId="0" fontId="0" fillId="3" borderId="11"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3" fontId="0" fillId="0" borderId="11" xfId="0" applyNumberFormat="1" applyBorder="1" applyAlignment="1" applyProtection="1">
      <alignment horizontal="center" vertical="center" wrapText="1"/>
    </xf>
    <xf numFmtId="0" fontId="0" fillId="4" borderId="11" xfId="0" applyFill="1" applyBorder="1" applyAlignment="1" applyProtection="1">
      <alignment horizontal="center" vertical="center" wrapText="1"/>
      <protection locked="0"/>
    </xf>
    <xf numFmtId="0" fontId="0" fillId="0" borderId="3" xfId="0" applyFont="1" applyFill="1" applyBorder="1" applyAlignment="1" applyProtection="1">
      <alignment horizontal="left" wrapText="1"/>
    </xf>
    <xf numFmtId="0" fontId="0" fillId="0" borderId="4" xfId="0" applyFont="1" applyFill="1" applyBorder="1" applyAlignment="1" applyProtection="1">
      <alignment horizontal="left" wrapText="1"/>
    </xf>
    <xf numFmtId="0" fontId="0" fillId="0" borderId="5" xfId="0" applyFont="1" applyFill="1" applyBorder="1" applyAlignment="1" applyProtection="1">
      <alignment horizontal="left" wrapText="1"/>
    </xf>
    <xf numFmtId="0" fontId="0" fillId="0" borderId="11" xfId="0" applyFont="1" applyBorder="1" applyAlignment="1" applyProtection="1">
      <alignment vertical="center" wrapText="1"/>
    </xf>
    <xf numFmtId="1" fontId="10" fillId="0" borderId="11" xfId="0" applyNumberFormat="1" applyFont="1" applyBorder="1" applyAlignment="1" applyProtection="1">
      <alignment vertical="center" wrapText="1"/>
    </xf>
    <xf numFmtId="0" fontId="10" fillId="0" borderId="11" xfId="0" applyFont="1" applyBorder="1" applyAlignment="1" applyProtection="1">
      <alignment vertical="center" wrapText="1"/>
    </xf>
    <xf numFmtId="0" fontId="0" fillId="0" borderId="11" xfId="0" applyFont="1" applyBorder="1" applyAlignment="1" applyProtection="1">
      <alignment horizontal="left" vertical="center" wrapText="1"/>
    </xf>
    <xf numFmtId="0" fontId="0" fillId="0" borderId="11" xfId="0" applyFont="1" applyFill="1" applyBorder="1" applyAlignment="1" applyProtection="1">
      <alignment horizontal="left" vertical="center" wrapText="1"/>
    </xf>
    <xf numFmtId="0" fontId="0" fillId="0" borderId="0" xfId="0" applyAlignment="1">
      <alignment horizont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1" fontId="5" fillId="0" borderId="11" xfId="0" applyNumberFormat="1" applyFont="1" applyBorder="1" applyAlignment="1" applyProtection="1">
      <alignment horizontal="center" vertical="center" wrapText="1"/>
    </xf>
    <xf numFmtId="9" fontId="23" fillId="0" borderId="4" xfId="0" applyNumberFormat="1" applyFont="1" applyBorder="1" applyAlignment="1" applyProtection="1">
      <alignment horizontal="center" vertical="center" wrapText="1"/>
    </xf>
    <xf numFmtId="9" fontId="23" fillId="0" borderId="5" xfId="0" applyNumberFormat="1" applyFont="1" applyBorder="1" applyAlignment="1" applyProtection="1">
      <alignment horizontal="center" vertical="center" wrapText="1"/>
    </xf>
    <xf numFmtId="0" fontId="5" fillId="10" borderId="11" xfId="0" applyFont="1" applyFill="1" applyBorder="1" applyAlignment="1" applyProtection="1">
      <alignment vertical="center" wrapText="1"/>
    </xf>
    <xf numFmtId="0" fontId="13" fillId="10" borderId="11" xfId="0" applyFont="1" applyFill="1" applyBorder="1" applyAlignment="1" applyProtection="1">
      <alignment horizontal="left" vertical="center" wrapText="1"/>
    </xf>
    <xf numFmtId="0" fontId="23" fillId="0" borderId="11" xfId="0" applyFont="1" applyBorder="1" applyAlignment="1" applyProtection="1">
      <alignment vertical="center" wrapText="1"/>
    </xf>
    <xf numFmtId="0" fontId="8" fillId="0" borderId="11" xfId="0" applyFont="1" applyBorder="1" applyAlignment="1" applyProtection="1">
      <alignment vertical="center" wrapText="1"/>
    </xf>
    <xf numFmtId="0" fontId="45" fillId="0" borderId="3" xfId="0" applyFont="1" applyBorder="1" applyAlignment="1" applyProtection="1">
      <alignment horizontal="center" vertical="center" wrapText="1"/>
    </xf>
    <xf numFmtId="0" fontId="45" fillId="0" borderId="4" xfId="0" applyFont="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6" xfId="0" applyFill="1" applyBorder="1" applyAlignment="1" applyProtection="1">
      <alignment horizontal="left" wrapText="1"/>
      <protection locked="0"/>
    </xf>
    <xf numFmtId="0" fontId="0" fillId="0" borderId="7" xfId="0" applyFill="1" applyBorder="1" applyAlignment="1">
      <alignment horizontal="left" wrapText="1"/>
    </xf>
    <xf numFmtId="0" fontId="0" fillId="0" borderId="8" xfId="0" applyFill="1" applyBorder="1" applyAlignment="1">
      <alignment horizontal="left" wrapText="1"/>
    </xf>
    <xf numFmtId="0" fontId="0" fillId="0" borderId="7" xfId="0" applyBorder="1" applyAlignment="1" applyProtection="1">
      <alignment horizontal="right" vertical="center" wrapText="1"/>
    </xf>
    <xf numFmtId="0" fontId="0" fillId="0" borderId="0" xfId="0" applyBorder="1" applyAlignment="1" applyProtection="1">
      <alignment horizontal="right" vertical="center" wrapText="1"/>
    </xf>
    <xf numFmtId="0" fontId="23" fillId="0" borderId="0" xfId="0" applyFont="1" applyBorder="1" applyAlignment="1" applyProtection="1">
      <alignment horizontal="right" vertical="center" wrapText="1"/>
    </xf>
    <xf numFmtId="0" fontId="0" fillId="2" borderId="0" xfId="0" applyFill="1" applyBorder="1" applyAlignment="1" applyProtection="1">
      <alignment horizontal="center" wrapText="1"/>
    </xf>
    <xf numFmtId="0" fontId="0" fillId="3" borderId="0" xfId="0" applyFill="1" applyBorder="1" applyAlignment="1" applyProtection="1">
      <alignment horizontal="center" wrapText="1"/>
    </xf>
    <xf numFmtId="0" fontId="0" fillId="0" borderId="0" xfId="0" applyBorder="1" applyAlignment="1" applyProtection="1">
      <alignment wrapText="1"/>
    </xf>
    <xf numFmtId="0" fontId="0" fillId="0" borderId="0" xfId="0" applyAlignment="1" applyProtection="1">
      <alignment wrapText="1"/>
    </xf>
    <xf numFmtId="0" fontId="10" fillId="0" borderId="0" xfId="0" applyFont="1" applyBorder="1" applyAlignment="1" applyProtection="1">
      <alignment horizontal="center" wrapText="1"/>
    </xf>
    <xf numFmtId="0" fontId="10" fillId="0" borderId="0" xfId="0" applyFont="1" applyBorder="1" applyAlignment="1" applyProtection="1">
      <alignment wrapText="1"/>
    </xf>
    <xf numFmtId="0" fontId="0" fillId="0" borderId="0" xfId="0" applyFill="1" applyBorder="1" applyAlignment="1" applyProtection="1">
      <alignment wrapText="1"/>
    </xf>
    <xf numFmtId="0" fontId="10" fillId="0" borderId="0" xfId="0" applyFont="1" applyBorder="1" applyAlignment="1" applyProtection="1">
      <alignment horizontal="left" vertical="center" wrapText="1"/>
    </xf>
    <xf numFmtId="0" fontId="0" fillId="0" borderId="0" xfId="0" applyFill="1" applyBorder="1" applyAlignment="1" applyProtection="1">
      <alignment vertical="center" wrapText="1"/>
    </xf>
    <xf numFmtId="0" fontId="10" fillId="0" borderId="0" xfId="0" applyFont="1" applyFill="1" applyBorder="1" applyAlignment="1" applyProtection="1">
      <alignment vertical="center" wrapText="1"/>
    </xf>
    <xf numFmtId="0" fontId="0" fillId="0" borderId="0" xfId="0" applyBorder="1" applyAlignment="1" applyProtection="1">
      <alignment horizontal="left" vertical="center" wrapText="1"/>
    </xf>
    <xf numFmtId="0" fontId="0" fillId="0" borderId="0" xfId="0" applyFill="1" applyBorder="1" applyAlignment="1" applyProtection="1">
      <alignment horizontal="center" wrapText="1"/>
    </xf>
    <xf numFmtId="0" fontId="15" fillId="0" borderId="0" xfId="0" applyFont="1" applyFill="1" applyBorder="1" applyAlignment="1" applyProtection="1">
      <alignment vertical="center" wrapText="1"/>
    </xf>
    <xf numFmtId="0" fontId="10" fillId="10" borderId="0" xfId="0" applyFont="1" applyFill="1" applyBorder="1" applyAlignment="1" applyProtection="1">
      <alignment vertical="center" wrapText="1"/>
    </xf>
    <xf numFmtId="0" fontId="19" fillId="0" borderId="0" xfId="0" applyFont="1" applyBorder="1" applyAlignment="1" applyProtection="1">
      <alignment horizontal="left" vertical="center" wrapText="1"/>
    </xf>
    <xf numFmtId="0" fontId="0" fillId="10" borderId="0" xfId="0" applyFill="1" applyBorder="1" applyAlignment="1" applyProtection="1">
      <alignment vertical="center" wrapText="1"/>
    </xf>
    <xf numFmtId="0" fontId="0" fillId="0" borderId="0" xfId="0" applyBorder="1" applyAlignment="1" applyProtection="1">
      <alignment horizontal="center" wrapText="1"/>
    </xf>
    <xf numFmtId="0" fontId="0" fillId="3" borderId="3" xfId="0" applyFont="1" applyFill="1" applyBorder="1" applyAlignment="1" applyProtection="1">
      <alignment horizontal="center" wrapText="1"/>
    </xf>
    <xf numFmtId="0" fontId="0" fillId="3" borderId="4" xfId="0" applyFont="1" applyFill="1" applyBorder="1" applyAlignment="1" applyProtection="1">
      <alignment horizontal="center" wrapText="1"/>
    </xf>
    <xf numFmtId="0" fontId="0" fillId="3" borderId="5" xfId="0" applyFont="1" applyFill="1" applyBorder="1" applyAlignment="1" applyProtection="1">
      <alignment horizontal="center" wrapText="1"/>
    </xf>
    <xf numFmtId="0" fontId="5" fillId="3" borderId="6" xfId="0" applyFont="1" applyFill="1" applyBorder="1" applyAlignment="1" applyProtection="1">
      <alignment horizontal="center" wrapText="1"/>
    </xf>
    <xf numFmtId="0" fontId="0" fillId="0" borderId="7" xfId="0" applyFont="1" applyBorder="1" applyAlignment="1" applyProtection="1">
      <alignment horizontal="center" wrapText="1"/>
    </xf>
    <xf numFmtId="0" fontId="0" fillId="0" borderId="8" xfId="0" applyFont="1" applyBorder="1" applyAlignment="1" applyProtection="1">
      <alignment horizontal="center" wrapText="1"/>
    </xf>
    <xf numFmtId="0" fontId="10" fillId="0" borderId="6" xfId="0" applyFont="1" applyBorder="1" applyAlignment="1" applyProtection="1">
      <alignment horizontal="left" wrapText="1"/>
    </xf>
    <xf numFmtId="0" fontId="10" fillId="0" borderId="7" xfId="0" applyFont="1" applyBorder="1" applyAlignment="1" applyProtection="1">
      <alignment horizontal="left" wrapText="1"/>
    </xf>
    <xf numFmtId="0" fontId="10" fillId="0" borderId="8" xfId="0" applyFont="1" applyBorder="1" applyAlignment="1" applyProtection="1">
      <alignment horizontal="left" wrapText="1"/>
    </xf>
    <xf numFmtId="0" fontId="10" fillId="0" borderId="12"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13" xfId="0" applyFont="1" applyBorder="1" applyAlignment="1" applyProtection="1">
      <alignment horizontal="left" wrapText="1"/>
    </xf>
    <xf numFmtId="0" fontId="5" fillId="10" borderId="11" xfId="0" applyFont="1" applyFill="1" applyBorder="1" applyAlignment="1" applyProtection="1">
      <alignment horizontal="center" wrapText="1"/>
    </xf>
    <xf numFmtId="0" fontId="10" fillId="0" borderId="11" xfId="0" applyFont="1" applyBorder="1" applyAlignment="1" applyProtection="1">
      <alignment horizontal="left" vertical="center" wrapText="1"/>
    </xf>
    <xf numFmtId="0" fontId="19" fillId="0" borderId="12" xfId="0" applyFont="1" applyBorder="1" applyAlignment="1" applyProtection="1">
      <alignment wrapText="1"/>
    </xf>
    <xf numFmtId="0" fontId="19" fillId="0" borderId="0" xfId="0" applyFont="1" applyBorder="1" applyAlignment="1" applyProtection="1">
      <alignment wrapText="1"/>
    </xf>
    <xf numFmtId="0" fontId="19" fillId="0" borderId="13" xfId="0" applyFont="1" applyBorder="1" applyAlignment="1" applyProtection="1">
      <alignment wrapText="1"/>
    </xf>
    <xf numFmtId="0" fontId="19" fillId="0" borderId="9" xfId="0" applyFont="1" applyBorder="1" applyAlignment="1" applyProtection="1">
      <alignment wrapText="1"/>
    </xf>
    <xf numFmtId="0" fontId="19" fillId="0" borderId="2" xfId="0" applyFont="1" applyBorder="1" applyAlignment="1" applyProtection="1">
      <alignment wrapText="1"/>
    </xf>
    <xf numFmtId="0" fontId="19" fillId="0" borderId="10" xfId="0" applyFont="1" applyBorder="1" applyAlignment="1" applyProtection="1">
      <alignment wrapText="1"/>
    </xf>
    <xf numFmtId="0" fontId="0" fillId="10" borderId="3" xfId="0" applyFill="1" applyBorder="1" applyAlignment="1" applyProtection="1">
      <alignment horizontal="center" wrapText="1"/>
    </xf>
    <xf numFmtId="0" fontId="0" fillId="10" borderId="4" xfId="0" applyFill="1" applyBorder="1" applyAlignment="1" applyProtection="1">
      <alignment horizontal="center" wrapText="1"/>
    </xf>
    <xf numFmtId="0" fontId="0" fillId="10" borderId="5" xfId="0" applyFill="1" applyBorder="1" applyAlignment="1" applyProtection="1">
      <alignment horizontal="center" wrapText="1"/>
    </xf>
    <xf numFmtId="0" fontId="0" fillId="10" borderId="11" xfId="0" applyFill="1" applyBorder="1" applyAlignment="1" applyProtection="1">
      <alignment vertical="center" wrapText="1"/>
    </xf>
    <xf numFmtId="0" fontId="5" fillId="3" borderId="0" xfId="0" applyFont="1" applyFill="1" applyBorder="1" applyAlignment="1" applyProtection="1">
      <alignment horizontal="center" wrapText="1"/>
    </xf>
    <xf numFmtId="0" fontId="5" fillId="10" borderId="3" xfId="0" applyFont="1" applyFill="1" applyBorder="1" applyAlignment="1" applyProtection="1">
      <alignment horizontal="center" wrapText="1"/>
    </xf>
    <xf numFmtId="0" fontId="5" fillId="10" borderId="4" xfId="0" applyFont="1" applyFill="1" applyBorder="1" applyAlignment="1" applyProtection="1">
      <alignment horizontal="center" wrapText="1"/>
    </xf>
    <xf numFmtId="0" fontId="5" fillId="10" borderId="5" xfId="0" applyFont="1" applyFill="1" applyBorder="1" applyAlignment="1" applyProtection="1">
      <alignment horizontal="center" wrapText="1"/>
    </xf>
    <xf numFmtId="0" fontId="0" fillId="0" borderId="0" xfId="0" applyBorder="1" applyAlignment="1">
      <alignment horizontal="right" wrapText="1"/>
    </xf>
    <xf numFmtId="0" fontId="10" fillId="0" borderId="11" xfId="0" applyFont="1" applyBorder="1" applyAlignment="1" applyProtection="1">
      <alignment horizontal="left" wrapText="1"/>
    </xf>
    <xf numFmtId="0" fontId="13" fillId="10" borderId="11" xfId="0" applyFont="1" applyFill="1" applyBorder="1" applyAlignment="1" applyProtection="1">
      <alignment horizontal="right"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1" xfId="0" applyFill="1" applyBorder="1" applyAlignment="1" applyProtection="1">
      <alignment horizontal="left" vertical="center" wrapText="1"/>
    </xf>
    <xf numFmtId="0" fontId="0" fillId="0" borderId="0" xfId="0"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10"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19" xfId="0" applyBorder="1" applyAlignment="1" applyProtection="1">
      <alignment vertical="center" wrapText="1"/>
    </xf>
    <xf numFmtId="0" fontId="0" fillId="0" borderId="11" xfId="0" applyBorder="1" applyAlignment="1" applyProtection="1">
      <alignment horizontal="left" vertical="center" wrapText="1"/>
    </xf>
    <xf numFmtId="0" fontId="0" fillId="0" borderId="4" xfId="0" applyBorder="1" applyAlignment="1" applyProtection="1">
      <alignment horizontal="left" vertical="center" wrapText="1"/>
    </xf>
    <xf numFmtId="0" fontId="18" fillId="0" borderId="18"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9" xfId="0" applyFont="1"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19" xfId="0" applyFill="1" applyBorder="1" applyAlignment="1" applyProtection="1">
      <alignment horizontal="center" vertical="center" wrapText="1"/>
    </xf>
    <xf numFmtId="0" fontId="0" fillId="0" borderId="11" xfId="0"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3" fillId="10" borderId="11" xfId="0" applyFont="1" applyFill="1" applyBorder="1" applyAlignment="1" applyProtection="1">
      <alignment horizontal="right" vertical="center" wrapText="1"/>
      <protection locked="0"/>
    </xf>
    <xf numFmtId="0" fontId="13" fillId="10" borderId="11"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center" vertical="center" wrapText="1"/>
      <protection locked="0"/>
    </xf>
    <xf numFmtId="0" fontId="0" fillId="0" borderId="14" xfId="0" applyFill="1" applyBorder="1" applyAlignment="1" applyProtection="1">
      <alignment horizontal="left" vertical="center" wrapText="1"/>
    </xf>
    <xf numFmtId="0" fontId="0" fillId="0" borderId="14" xfId="0" applyBorder="1" applyAlignment="1">
      <alignment horizontal="left" vertical="center" wrapText="1"/>
    </xf>
    <xf numFmtId="0" fontId="19" fillId="0" borderId="11"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4" fontId="0" fillId="4" borderId="3" xfId="0" applyNumberFormat="1" applyFill="1" applyBorder="1" applyAlignment="1" applyProtection="1">
      <alignment horizontal="center" vertical="center" wrapText="1"/>
      <protection locked="0"/>
    </xf>
    <xf numFmtId="4" fontId="0" fillId="4" borderId="5" xfId="0" applyNumberFormat="1" applyFill="1" applyBorder="1" applyAlignment="1" applyProtection="1">
      <alignment horizontal="center" vertical="center" wrapText="1"/>
      <protection locked="0"/>
    </xf>
    <xf numFmtId="9" fontId="0" fillId="11" borderId="3" xfId="1" applyFont="1" applyFill="1" applyBorder="1" applyAlignment="1" applyProtection="1">
      <alignment horizontal="center" vertical="center" wrapText="1"/>
    </xf>
    <xf numFmtId="9" fontId="0" fillId="11" borderId="4" xfId="1" applyFont="1" applyFill="1" applyBorder="1" applyAlignment="1" applyProtection="1">
      <alignment horizontal="center" vertical="center" wrapText="1"/>
    </xf>
    <xf numFmtId="9" fontId="0" fillId="11" borderId="5" xfId="1" applyFont="1" applyFill="1" applyBorder="1" applyAlignment="1" applyProtection="1">
      <alignment horizontal="center" vertical="center" wrapText="1"/>
    </xf>
    <xf numFmtId="0" fontId="0" fillId="0" borderId="11" xfId="0" applyBorder="1" applyAlignment="1">
      <alignment vertical="center"/>
    </xf>
    <xf numFmtId="0" fontId="5" fillId="0" borderId="11" xfId="0" applyFont="1" applyBorder="1" applyAlignment="1" applyProtection="1">
      <alignment horizontal="left" vertical="center" wrapText="1"/>
    </xf>
    <xf numFmtId="0" fontId="38" fillId="10" borderId="11" xfId="0" applyFont="1" applyFill="1" applyBorder="1" applyAlignment="1" applyProtection="1">
      <alignment horizontal="right" vertical="center" wrapText="1"/>
    </xf>
    <xf numFmtId="0" fontId="34" fillId="3" borderId="11" xfId="0" applyFont="1" applyFill="1" applyBorder="1" applyAlignment="1" applyProtection="1">
      <alignment horizontal="center" vertical="center" wrapText="1"/>
    </xf>
    <xf numFmtId="0" fontId="38" fillId="10" borderId="3" xfId="0" applyFont="1" applyFill="1" applyBorder="1" applyAlignment="1" applyProtection="1">
      <alignment horizontal="center" vertical="center" wrapText="1"/>
    </xf>
    <xf numFmtId="0" fontId="38" fillId="10" borderId="4" xfId="0" applyFont="1" applyFill="1" applyBorder="1" applyAlignment="1" applyProtection="1">
      <alignment horizontal="center" vertical="center" wrapText="1"/>
    </xf>
    <xf numFmtId="0" fontId="38" fillId="10" borderId="5" xfId="0" applyFont="1" applyFill="1" applyBorder="1" applyAlignment="1" applyProtection="1">
      <alignment horizontal="center" vertical="center" wrapText="1"/>
    </xf>
    <xf numFmtId="0" fontId="0" fillId="0" borderId="11" xfId="0" applyFont="1" applyBorder="1" applyAlignment="1" applyProtection="1">
      <alignment wrapText="1"/>
    </xf>
    <xf numFmtId="0" fontId="18" fillId="0" borderId="3" xfId="0" applyFont="1" applyBorder="1" applyAlignment="1" applyProtection="1">
      <alignment horizontal="center" wrapText="1"/>
    </xf>
    <xf numFmtId="0" fontId="18" fillId="0" borderId="4" xfId="0" applyFont="1" applyBorder="1" applyAlignment="1" applyProtection="1">
      <alignment horizontal="center" wrapText="1"/>
    </xf>
    <xf numFmtId="0" fontId="18" fillId="0" borderId="5" xfId="0" applyFont="1" applyBorder="1" applyAlignment="1" applyProtection="1">
      <alignment horizontal="center" wrapText="1"/>
    </xf>
    <xf numFmtId="0" fontId="0" fillId="0" borderId="3" xfId="0" applyFill="1" applyBorder="1" applyAlignment="1" applyProtection="1">
      <alignment horizontal="left" wrapText="1"/>
    </xf>
    <xf numFmtId="0" fontId="0" fillId="0" borderId="4" xfId="0" applyFill="1" applyBorder="1" applyAlignment="1" applyProtection="1">
      <alignment horizontal="left" wrapText="1"/>
    </xf>
    <xf numFmtId="0" fontId="0" fillId="0" borderId="5" xfId="0" applyFill="1" applyBorder="1" applyAlignment="1" applyProtection="1">
      <alignment horizontal="left" wrapText="1"/>
    </xf>
    <xf numFmtId="0" fontId="0" fillId="9" borderId="3" xfId="0" applyFont="1" applyFill="1" applyBorder="1" applyAlignment="1" applyProtection="1">
      <alignment horizontal="center" vertical="center" wrapText="1"/>
      <protection locked="0"/>
    </xf>
    <xf numFmtId="0" fontId="0" fillId="9" borderId="5" xfId="0" applyFont="1" applyFill="1" applyBorder="1" applyAlignment="1" applyProtection="1">
      <alignment horizontal="center" vertical="center" wrapText="1"/>
      <protection locked="0"/>
    </xf>
    <xf numFmtId="9" fontId="5" fillId="10" borderId="3" xfId="0" applyNumberFormat="1" applyFont="1" applyFill="1" applyBorder="1" applyAlignment="1" applyProtection="1">
      <alignment vertical="center" wrapText="1"/>
    </xf>
    <xf numFmtId="0" fontId="5" fillId="10" borderId="4" xfId="0" applyFont="1" applyFill="1" applyBorder="1" applyAlignment="1" applyProtection="1">
      <alignment vertical="center" wrapText="1"/>
    </xf>
    <xf numFmtId="0" fontId="5" fillId="10" borderId="5" xfId="0" applyFont="1" applyFill="1" applyBorder="1" applyAlignment="1" applyProtection="1">
      <alignment vertical="center" wrapText="1"/>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8" xfId="0" applyBorder="1" applyAlignment="1" applyProtection="1">
      <alignment horizontal="center" wrapText="1"/>
    </xf>
    <xf numFmtId="0" fontId="0" fillId="0" borderId="12" xfId="0" applyBorder="1" applyAlignment="1" applyProtection="1">
      <alignment wrapText="1"/>
    </xf>
    <xf numFmtId="0" fontId="0" fillId="0" borderId="13" xfId="0" applyBorder="1" applyAlignment="1" applyProtection="1">
      <alignment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10" fillId="0" borderId="11" xfId="0" applyFont="1" applyBorder="1" applyAlignment="1" applyProtection="1">
      <alignment wrapText="1"/>
    </xf>
    <xf numFmtId="0" fontId="5" fillId="3" borderId="7" xfId="0" applyFont="1" applyFill="1" applyBorder="1" applyAlignment="1" applyProtection="1">
      <alignment horizontal="center" wrapText="1"/>
    </xf>
    <xf numFmtId="0" fontId="5" fillId="3" borderId="8" xfId="0" applyFont="1" applyFill="1" applyBorder="1" applyAlignment="1" applyProtection="1">
      <alignment horizontal="center" wrapText="1"/>
    </xf>
    <xf numFmtId="0" fontId="33" fillId="0" borderId="9" xfId="0" applyFont="1" applyFill="1" applyBorder="1" applyAlignment="1" applyProtection="1">
      <alignment horizontal="left" wrapText="1"/>
      <protection locked="0"/>
    </xf>
    <xf numFmtId="0" fontId="33" fillId="0" borderId="10" xfId="0" applyFont="1" applyFill="1" applyBorder="1" applyAlignment="1">
      <alignment horizontal="left" wrapText="1"/>
    </xf>
    <xf numFmtId="0" fontId="33" fillId="0" borderId="9" xfId="0" applyFont="1" applyBorder="1" applyAlignment="1" applyProtection="1">
      <alignment horizontal="left" wrapText="1"/>
    </xf>
    <xf numFmtId="0" fontId="33" fillId="0" borderId="10" xfId="0" applyFont="1" applyBorder="1" applyAlignment="1">
      <alignment horizontal="left" wrapText="1"/>
    </xf>
    <xf numFmtId="0" fontId="0" fillId="0" borderId="4" xfId="0" applyBorder="1" applyAlignment="1" applyProtection="1">
      <alignment vertical="center" wrapText="1"/>
    </xf>
    <xf numFmtId="0" fontId="0" fillId="0" borderId="11" xfId="0" applyBorder="1" applyAlignment="1" applyProtection="1">
      <alignment horizontal="left" wrapText="1"/>
    </xf>
    <xf numFmtId="0" fontId="0" fillId="0" borderId="0" xfId="0" applyBorder="1" applyAlignment="1" applyProtection="1">
      <alignment horizontal="right"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10" fillId="4" borderId="3"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0" fontId="0" fillId="0" borderId="3" xfId="0"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0" fontId="10" fillId="0" borderId="11" xfId="0" applyFont="1" applyFill="1" applyBorder="1" applyAlignment="1" applyProtection="1">
      <alignment horizontal="left" vertical="center" wrapText="1"/>
    </xf>
    <xf numFmtId="0" fontId="33" fillId="0" borderId="11" xfId="0" applyFont="1" applyFill="1" applyBorder="1" applyAlignment="1" applyProtection="1">
      <alignment horizontal="left" vertical="center" wrapText="1"/>
      <protection locked="0"/>
    </xf>
    <xf numFmtId="0" fontId="33" fillId="0" borderId="11" xfId="0" applyFont="1" applyFill="1" applyBorder="1" applyAlignment="1">
      <alignment horizontal="left" vertical="center" wrapText="1"/>
    </xf>
    <xf numFmtId="0" fontId="33" fillId="0" borderId="5" xfId="0" applyFont="1" applyBorder="1" applyAlignment="1">
      <alignment horizontal="left" vertical="center" wrapText="1"/>
    </xf>
    <xf numFmtId="1" fontId="10" fillId="0" borderId="11" xfId="0" applyNumberFormat="1" applyFont="1" applyFill="1" applyBorder="1" applyAlignment="1" applyProtection="1">
      <alignment horizontal="center" vertical="center" wrapText="1"/>
    </xf>
    <xf numFmtId="0" fontId="10" fillId="0" borderId="11" xfId="0" applyFont="1" applyFill="1" applyBorder="1" applyAlignment="1" applyProtection="1">
      <alignment vertical="center" wrapText="1"/>
    </xf>
    <xf numFmtId="0" fontId="5" fillId="3" borderId="0" xfId="0" applyFont="1" applyFill="1" applyBorder="1" applyAlignment="1" applyProtection="1">
      <alignment horizontal="center" vertical="center" wrapText="1"/>
    </xf>
    <xf numFmtId="0" fontId="5" fillId="10" borderId="11" xfId="0" applyFont="1" applyFill="1" applyBorder="1" applyAlignment="1" applyProtection="1">
      <alignment horizontal="left" vertical="center" wrapText="1"/>
    </xf>
    <xf numFmtId="0" fontId="10" fillId="0" borderId="11" xfId="0" applyFont="1" applyBorder="1" applyAlignment="1" applyProtection="1">
      <alignment horizontal="center" vertical="center" wrapText="1"/>
    </xf>
    <xf numFmtId="0" fontId="34" fillId="10" borderId="11" xfId="0" applyFont="1" applyFill="1" applyBorder="1" applyAlignment="1" applyProtection="1">
      <alignment horizontal="right" vertical="center" wrapText="1"/>
    </xf>
    <xf numFmtId="0" fontId="38" fillId="10" borderId="11" xfId="0" applyFont="1" applyFill="1" applyBorder="1" applyAlignment="1" applyProtection="1">
      <alignment horizontal="left" vertical="center" wrapText="1"/>
    </xf>
    <xf numFmtId="0" fontId="34" fillId="3" borderId="3" xfId="0" applyFont="1" applyFill="1" applyBorder="1" applyAlignment="1" applyProtection="1">
      <alignment horizontal="center" vertical="center" wrapText="1"/>
    </xf>
    <xf numFmtId="0" fontId="34" fillId="3" borderId="4" xfId="0" applyFont="1" applyFill="1" applyBorder="1" applyAlignment="1" applyProtection="1">
      <alignment horizontal="center" vertical="center" wrapText="1"/>
    </xf>
    <xf numFmtId="0" fontId="34" fillId="3" borderId="5" xfId="0" applyFont="1" applyFill="1" applyBorder="1" applyAlignment="1" applyProtection="1">
      <alignment horizontal="center" vertical="center" wrapText="1"/>
    </xf>
    <xf numFmtId="0" fontId="5" fillId="10" borderId="3" xfId="0" applyFont="1" applyFill="1" applyBorder="1" applyAlignment="1" applyProtection="1">
      <alignment vertical="center" wrapText="1"/>
    </xf>
    <xf numFmtId="0" fontId="0" fillId="10" borderId="3" xfId="0" applyFill="1" applyBorder="1" applyAlignment="1" applyProtection="1">
      <alignment vertical="center" wrapText="1"/>
    </xf>
    <xf numFmtId="0" fontId="0" fillId="10" borderId="5" xfId="0" applyFill="1" applyBorder="1" applyAlignment="1" applyProtection="1">
      <alignment vertical="center" wrapText="1"/>
    </xf>
    <xf numFmtId="0" fontId="0" fillId="0" borderId="14" xfId="0" applyBorder="1" applyAlignment="1" applyProtection="1">
      <alignment horizontal="center" vertical="center" wrapText="1"/>
    </xf>
    <xf numFmtId="0" fontId="5" fillId="10" borderId="3" xfId="0" applyFont="1" applyFill="1" applyBorder="1" applyAlignment="1" applyProtection="1">
      <alignment horizontal="left" vertical="center" wrapText="1"/>
    </xf>
    <xf numFmtId="0" fontId="5" fillId="10" borderId="4" xfId="0" applyFont="1" applyFill="1" applyBorder="1" applyAlignment="1" applyProtection="1">
      <alignment horizontal="left" vertical="center" wrapText="1"/>
    </xf>
    <xf numFmtId="0" fontId="5" fillId="10" borderId="5" xfId="0" applyFont="1" applyFill="1" applyBorder="1" applyAlignment="1" applyProtection="1">
      <alignment horizontal="left" vertical="center" wrapText="1"/>
    </xf>
    <xf numFmtId="0" fontId="5" fillId="0" borderId="5" xfId="0" applyFont="1" applyBorder="1" applyAlignment="1">
      <alignment vertical="center" wrapText="1"/>
    </xf>
    <xf numFmtId="0" fontId="33" fillId="0" borderId="3" xfId="0" applyFont="1" applyFill="1" applyBorder="1" applyAlignment="1" applyProtection="1">
      <alignment horizontal="left" vertical="center" wrapText="1"/>
      <protection locked="0"/>
    </xf>
    <xf numFmtId="0" fontId="33" fillId="0" borderId="5" xfId="0" applyFont="1" applyFill="1" applyBorder="1" applyAlignment="1">
      <alignment horizontal="left" vertical="center" wrapText="1"/>
    </xf>
    <xf numFmtId="0" fontId="34" fillId="3" borderId="9" xfId="0" applyFont="1" applyFill="1" applyBorder="1" applyAlignment="1" applyProtection="1">
      <alignment horizontal="center" vertical="center" wrapText="1"/>
    </xf>
    <xf numFmtId="0" fontId="34" fillId="3" borderId="2" xfId="0" applyFont="1" applyFill="1" applyBorder="1" applyAlignment="1" applyProtection="1">
      <alignment horizontal="center" vertical="center" wrapText="1"/>
    </xf>
    <xf numFmtId="0" fontId="34" fillId="3" borderId="10"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3" fillId="10" borderId="11" xfId="0" applyFont="1" applyFill="1" applyBorder="1" applyAlignment="1" applyProtection="1">
      <alignment vertical="center" wrapText="1"/>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33" fillId="0" borderId="6" xfId="0" applyFont="1" applyFill="1" applyBorder="1" applyAlignment="1" applyProtection="1">
      <alignment horizontal="left" vertical="center" wrapText="1"/>
      <protection locked="0"/>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10" fillId="0" borderId="3"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0" fillId="0" borderId="14" xfId="0" applyFill="1" applyBorder="1" applyAlignment="1" applyProtection="1">
      <alignment horizontal="left" vertical="center" wrapText="1"/>
      <protection locked="0"/>
    </xf>
    <xf numFmtId="0" fontId="0" fillId="0" borderId="14" xfId="0" applyFill="1" applyBorder="1" applyAlignment="1">
      <alignment horizontal="left" vertical="center" wrapText="1"/>
    </xf>
    <xf numFmtId="0" fontId="0" fillId="0" borderId="3" xfId="0" applyFill="1" applyBorder="1" applyAlignment="1" applyProtection="1">
      <alignment vertical="center" wrapText="1"/>
    </xf>
    <xf numFmtId="0" fontId="0" fillId="0" borderId="5" xfId="0" applyFill="1" applyBorder="1" applyAlignment="1" applyProtection="1">
      <alignment vertical="center" wrapText="1"/>
    </xf>
    <xf numFmtId="0" fontId="0" fillId="2" borderId="0" xfId="0"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3"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33" fillId="0" borderId="10" xfId="0" applyFont="1" applyFill="1" applyBorder="1" applyAlignment="1">
      <alignment horizontal="left" vertical="center" wrapText="1"/>
    </xf>
    <xf numFmtId="0" fontId="33" fillId="0" borderId="9" xfId="0" applyFont="1" applyBorder="1" applyAlignment="1" applyProtection="1">
      <alignment horizontal="left" vertical="center" wrapText="1"/>
    </xf>
    <xf numFmtId="0" fontId="33" fillId="0" borderId="10" xfId="0" applyFont="1" applyBorder="1" applyAlignment="1">
      <alignment horizontal="left" vertical="center" wrapText="1"/>
    </xf>
    <xf numFmtId="0" fontId="10" fillId="2" borderId="0"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left" vertical="center" wrapText="1"/>
      <protection locked="0"/>
    </xf>
    <xf numFmtId="1" fontId="22" fillId="0" borderId="4" xfId="0" applyNumberFormat="1" applyFont="1" applyFill="1" applyBorder="1" applyAlignment="1" applyProtection="1">
      <alignment horizontal="left" vertical="center" wrapText="1"/>
      <protection locked="0"/>
    </xf>
    <xf numFmtId="1" fontId="22" fillId="0" borderId="5" xfId="0" applyNumberFormat="1" applyFont="1" applyFill="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0" fillId="0" borderId="3" xfId="0" applyFont="1" applyFill="1" applyBorder="1" applyAlignment="1" applyProtection="1">
      <alignment vertical="center" wrapText="1"/>
    </xf>
    <xf numFmtId="0" fontId="10" fillId="0" borderId="4"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34" fillId="3" borderId="6" xfId="0" applyFont="1" applyFill="1" applyBorder="1" applyAlignment="1" applyProtection="1">
      <alignment horizontal="center" vertical="center" wrapText="1"/>
    </xf>
    <xf numFmtId="0" fontId="34" fillId="3" borderId="7"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wrapText="1"/>
    </xf>
    <xf numFmtId="0" fontId="34" fillId="3" borderId="0" xfId="0" applyFont="1" applyFill="1" applyBorder="1" applyAlignment="1" applyProtection="1">
      <alignment horizontal="center" vertical="center" wrapText="1"/>
    </xf>
    <xf numFmtId="0" fontId="19" fillId="0" borderId="3" xfId="0" applyFont="1" applyBorder="1" applyAlignment="1" applyProtection="1">
      <alignment vertical="center" wrapText="1"/>
    </xf>
    <xf numFmtId="0" fontId="19" fillId="0" borderId="4" xfId="0" applyFont="1" applyBorder="1" applyAlignment="1" applyProtection="1">
      <alignment vertical="center" wrapText="1"/>
    </xf>
    <xf numFmtId="0" fontId="19" fillId="0" borderId="5" xfId="0" applyFont="1" applyBorder="1" applyAlignment="1" applyProtection="1">
      <alignment vertical="center" wrapText="1"/>
    </xf>
    <xf numFmtId="0" fontId="10" fillId="0" borderId="3"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3" fontId="0" fillId="0" borderId="11" xfId="0" applyNumberFormat="1" applyFill="1" applyBorder="1" applyAlignment="1" applyProtection="1">
      <alignment horizontal="center" vertical="center" wrapText="1"/>
    </xf>
    <xf numFmtId="3" fontId="10" fillId="0" borderId="3" xfId="0" applyNumberFormat="1" applyFont="1" applyFill="1" applyBorder="1" applyAlignment="1" applyProtection="1">
      <alignment vertical="center" wrapText="1"/>
    </xf>
    <xf numFmtId="3" fontId="10" fillId="0" borderId="4" xfId="0" applyNumberFormat="1" applyFont="1" applyFill="1" applyBorder="1" applyAlignment="1" applyProtection="1">
      <alignment vertical="center" wrapText="1"/>
    </xf>
    <xf numFmtId="3" fontId="10" fillId="0" borderId="5" xfId="0" applyNumberFormat="1" applyFont="1" applyFill="1" applyBorder="1" applyAlignment="1" applyProtection="1">
      <alignment vertical="center" wrapText="1"/>
    </xf>
    <xf numFmtId="3" fontId="34" fillId="3" borderId="0" xfId="0" applyNumberFormat="1" applyFont="1" applyFill="1" applyBorder="1" applyAlignment="1" applyProtection="1">
      <alignment horizontal="center" vertical="center" wrapText="1"/>
    </xf>
    <xf numFmtId="0" fontId="36" fillId="0" borderId="3" xfId="0" applyFont="1" applyBorder="1" applyAlignment="1" applyProtection="1">
      <alignment horizontal="left" vertical="center" wrapText="1"/>
    </xf>
    <xf numFmtId="0" fontId="36" fillId="0" borderId="4" xfId="0" applyFont="1" applyBorder="1" applyAlignment="1" applyProtection="1">
      <alignment horizontal="left" vertical="center" wrapText="1"/>
    </xf>
    <xf numFmtId="0" fontId="36" fillId="0" borderId="5" xfId="0" applyFont="1" applyBorder="1" applyAlignment="1" applyProtection="1">
      <alignment horizontal="left" vertical="center" wrapText="1"/>
    </xf>
    <xf numFmtId="0" fontId="22" fillId="4" borderId="3" xfId="0" applyFont="1"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5" fillId="3" borderId="11" xfId="0" applyFont="1" applyFill="1" applyBorder="1" applyAlignment="1">
      <alignment horizontal="center" vertical="center" wrapText="1"/>
    </xf>
    <xf numFmtId="3" fontId="5" fillId="3" borderId="11" xfId="0" applyNumberFormat="1"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3" fontId="19" fillId="0" borderId="3" xfId="0" applyNumberFormat="1" applyFont="1" applyBorder="1" applyAlignment="1" applyProtection="1">
      <alignment horizontal="left" vertical="center" wrapText="1"/>
    </xf>
    <xf numFmtId="3" fontId="19" fillId="0" borderId="4" xfId="0" applyNumberFormat="1" applyFont="1" applyBorder="1" applyAlignment="1" applyProtection="1">
      <alignment horizontal="left" vertical="center" wrapText="1"/>
    </xf>
    <xf numFmtId="3" fontId="19" fillId="0" borderId="5" xfId="0" applyNumberFormat="1" applyFont="1" applyBorder="1" applyAlignment="1" applyProtection="1">
      <alignment horizontal="left" vertical="center" wrapText="1"/>
    </xf>
    <xf numFmtId="0" fontId="10" fillId="0" borderId="11" xfId="0" applyFont="1" applyBorder="1" applyAlignment="1" applyProtection="1">
      <alignment horizontal="left" vertical="center" wrapText="1"/>
      <protection locked="0"/>
    </xf>
    <xf numFmtId="0" fontId="0" fillId="0" borderId="15" xfId="0" applyBorder="1" applyAlignment="1" applyProtection="1">
      <alignment horizontal="center" vertical="center" wrapText="1"/>
    </xf>
    <xf numFmtId="3" fontId="0" fillId="10" borderId="3" xfId="0" applyNumberFormat="1" applyFill="1" applyBorder="1" applyAlignment="1" applyProtection="1">
      <alignment vertical="center" wrapText="1"/>
    </xf>
    <xf numFmtId="3" fontId="0" fillId="10" borderId="4" xfId="0" applyNumberFormat="1" applyFill="1" applyBorder="1" applyAlignment="1" applyProtection="1">
      <alignment vertical="center" wrapText="1"/>
    </xf>
    <xf numFmtId="3" fontId="0" fillId="10" borderId="5" xfId="0" applyNumberFormat="1" applyFill="1" applyBorder="1" applyAlignment="1" applyProtection="1">
      <alignment vertical="center" wrapText="1"/>
    </xf>
    <xf numFmtId="3" fontId="0" fillId="0" borderId="0" xfId="0" applyNumberFormat="1" applyFill="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2" xfId="0" applyFill="1" applyBorder="1" applyAlignment="1" applyProtection="1">
      <alignment horizontal="left" vertical="center" wrapText="1"/>
    </xf>
    <xf numFmtId="0" fontId="0" fillId="10" borderId="10" xfId="0" applyFill="1" applyBorder="1" applyAlignment="1" applyProtection="1">
      <alignment horizontal="left" vertical="center" wrapText="1"/>
    </xf>
    <xf numFmtId="0" fontId="10" fillId="0" borderId="9"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33" fillId="0" borderId="9"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0" fillId="2" borderId="3"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Font="1" applyFill="1" applyBorder="1" applyAlignment="1" applyProtection="1">
      <alignment vertical="center" wrapText="1"/>
    </xf>
    <xf numFmtId="0" fontId="0" fillId="0" borderId="8" xfId="0" applyFont="1" applyFill="1" applyBorder="1" applyAlignment="1" applyProtection="1">
      <alignment vertical="center" wrapText="1"/>
    </xf>
    <xf numFmtId="0" fontId="0" fillId="2" borderId="3" xfId="0" applyFill="1" applyBorder="1" applyAlignment="1" applyProtection="1">
      <alignment horizontal="center" vertical="center" wrapText="1"/>
    </xf>
    <xf numFmtId="0" fontId="10" fillId="10" borderId="3" xfId="0" applyFont="1" applyFill="1" applyBorder="1" applyAlignment="1" applyProtection="1">
      <alignment vertical="center" wrapText="1"/>
    </xf>
    <xf numFmtId="0" fontId="0" fillId="0" borderId="20" xfId="0" applyBorder="1" applyAlignment="1" applyProtection="1">
      <alignment horizontal="center" vertical="center" wrapText="1"/>
    </xf>
    <xf numFmtId="0" fontId="0" fillId="0" borderId="2" xfId="0"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18" fillId="0" borderId="11" xfId="0" applyFont="1" applyBorder="1" applyAlignment="1" applyProtection="1">
      <alignment horizontal="left" vertical="center" wrapText="1"/>
    </xf>
    <xf numFmtId="0" fontId="34" fillId="3" borderId="14" xfId="0" applyFont="1" applyFill="1" applyBorder="1" applyAlignment="1" applyProtection="1">
      <alignment horizontal="center" vertical="center" wrapText="1"/>
    </xf>
    <xf numFmtId="0" fontId="38" fillId="10" borderId="11" xfId="0" applyFont="1" applyFill="1" applyBorder="1" applyAlignment="1" applyProtection="1">
      <alignment vertical="center" wrapText="1"/>
    </xf>
    <xf numFmtId="0" fontId="34" fillId="10" borderId="14" xfId="0" applyFont="1" applyFill="1" applyBorder="1" applyAlignment="1" applyProtection="1">
      <alignment horizontal="right" vertical="center" wrapText="1"/>
    </xf>
    <xf numFmtId="0" fontId="38" fillId="10" borderId="14" xfId="0" applyFont="1" applyFill="1" applyBorder="1" applyAlignment="1" applyProtection="1">
      <alignment horizontal="left" vertical="center" wrapText="1"/>
    </xf>
    <xf numFmtId="0" fontId="0" fillId="0" borderId="3" xfId="0" applyBorder="1" applyAlignment="1" applyProtection="1">
      <alignment horizontal="right" vertical="center" wrapText="1"/>
    </xf>
    <xf numFmtId="0" fontId="0" fillId="0" borderId="5" xfId="0" applyBorder="1" applyAlignment="1" applyProtection="1">
      <alignment horizontal="right" vertical="center" wrapText="1"/>
    </xf>
    <xf numFmtId="0" fontId="0" fillId="0" borderId="3" xfId="0" applyFill="1" applyBorder="1" applyAlignment="1" applyProtection="1">
      <alignment horizontal="right" vertical="center" wrapText="1"/>
    </xf>
    <xf numFmtId="0" fontId="0" fillId="0" borderId="5" xfId="0" applyFill="1" applyBorder="1" applyAlignment="1" applyProtection="1">
      <alignment horizontal="right" vertical="center" wrapText="1"/>
    </xf>
    <xf numFmtId="0" fontId="0" fillId="0" borderId="3" xfId="0" applyFont="1" applyFill="1" applyBorder="1" applyAlignment="1" applyProtection="1">
      <alignment horizontal="right" vertical="center" wrapText="1"/>
    </xf>
    <xf numFmtId="0" fontId="0" fillId="0" borderId="5" xfId="0" applyFont="1" applyFill="1" applyBorder="1" applyAlignment="1" applyProtection="1">
      <alignment horizontal="right" vertical="center" wrapText="1"/>
    </xf>
    <xf numFmtId="0" fontId="5" fillId="0" borderId="0" xfId="0" applyFont="1" applyBorder="1" applyAlignment="1" applyProtection="1">
      <alignment horizontal="center" vertical="center"/>
    </xf>
    <xf numFmtId="0" fontId="0" fillId="0" borderId="0" xfId="0" applyAlignment="1" applyProtection="1">
      <alignment horizontal="center" vertical="center"/>
    </xf>
    <xf numFmtId="0" fontId="0" fillId="0" borderId="0" xfId="0" applyFont="1" applyBorder="1" applyAlignment="1" applyProtection="1">
      <alignment horizontal="left" vertical="center" wrapText="1"/>
    </xf>
    <xf numFmtId="0" fontId="19" fillId="0" borderId="11" xfId="0" applyFont="1" applyBorder="1" applyAlignment="1" applyProtection="1">
      <alignment vertical="center" wrapText="1"/>
    </xf>
    <xf numFmtId="0" fontId="11" fillId="0" borderId="11" xfId="0" applyFont="1" applyFill="1" applyBorder="1" applyAlignment="1" applyProtection="1">
      <alignment horizontal="center" wrapText="1"/>
    </xf>
    <xf numFmtId="0" fontId="11" fillId="0" borderId="11" xfId="0" applyFont="1" applyBorder="1" applyAlignment="1">
      <alignment horizontal="center" wrapText="1"/>
    </xf>
    <xf numFmtId="0" fontId="11" fillId="0" borderId="11" xfId="0" applyFont="1" applyFill="1" applyBorder="1" applyAlignment="1" applyProtection="1">
      <alignment horizontal="left" vertical="center" wrapText="1"/>
    </xf>
    <xf numFmtId="0" fontId="11" fillId="0" borderId="11" xfId="0" applyFont="1" applyBorder="1" applyAlignment="1">
      <alignment horizontal="left" vertical="center" wrapText="1"/>
    </xf>
    <xf numFmtId="0" fontId="10" fillId="0" borderId="14" xfId="0" applyFont="1" applyBorder="1" applyAlignment="1" applyProtection="1">
      <alignment horizontal="left" vertical="center" wrapText="1"/>
    </xf>
    <xf numFmtId="0" fontId="23" fillId="0" borderId="11" xfId="0" applyFont="1" applyBorder="1" applyAlignment="1" applyProtection="1">
      <alignment horizontal="center" vertical="center" wrapText="1"/>
    </xf>
    <xf numFmtId="0" fontId="23" fillId="0" borderId="11" xfId="0" applyFont="1" applyBorder="1" applyAlignment="1" applyProtection="1">
      <alignment horizontal="left" vertical="center" wrapText="1"/>
    </xf>
    <xf numFmtId="2" fontId="23" fillId="0" borderId="11" xfId="0" applyNumberFormat="1" applyFont="1" applyBorder="1" applyAlignment="1" applyProtection="1">
      <alignment horizontal="center" vertical="center" wrapText="1"/>
    </xf>
    <xf numFmtId="0" fontId="0" fillId="9" borderId="11" xfId="0" applyFill="1" applyBorder="1" applyAlignment="1" applyProtection="1">
      <alignment horizontal="center" vertical="center" wrapText="1"/>
      <protection locked="0"/>
    </xf>
    <xf numFmtId="0" fontId="23" fillId="0" borderId="11" xfId="0" applyFont="1" applyBorder="1" applyAlignment="1" applyProtection="1">
      <alignment horizontal="right" vertical="center" wrapText="1"/>
    </xf>
    <xf numFmtId="0" fontId="23" fillId="0" borderId="11" xfId="0" applyFont="1" applyBorder="1" applyAlignment="1" applyProtection="1">
      <alignment horizontal="right" wrapText="1"/>
    </xf>
    <xf numFmtId="0" fontId="8" fillId="0" borderId="11" xfId="0" applyFont="1" applyFill="1" applyBorder="1" applyAlignment="1" applyProtection="1">
      <alignment wrapText="1"/>
    </xf>
    <xf numFmtId="0" fontId="23" fillId="0" borderId="11" xfId="0" applyFont="1" applyBorder="1" applyAlignment="1">
      <alignment wrapText="1"/>
    </xf>
    <xf numFmtId="0" fontId="0" fillId="0" borderId="3" xfId="0" applyBorder="1" applyAlignment="1" applyProtection="1">
      <alignment horizontal="center" wrapText="1"/>
    </xf>
    <xf numFmtId="0" fontId="0" fillId="0" borderId="5" xfId="0" applyBorder="1" applyAlignment="1" applyProtection="1">
      <alignment horizontal="center" wrapText="1"/>
    </xf>
    <xf numFmtId="0" fontId="23" fillId="0" borderId="3" xfId="0" applyFont="1" applyBorder="1" applyAlignment="1" applyProtection="1">
      <alignment horizontal="left" vertical="center" wrapText="1"/>
    </xf>
    <xf numFmtId="0" fontId="23" fillId="0" borderId="5" xfId="0" applyFont="1" applyBorder="1" applyAlignment="1" applyProtection="1">
      <alignment horizontal="left" vertical="center" wrapText="1"/>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4" fillId="3" borderId="0" xfId="0" applyFont="1" applyFill="1" applyBorder="1" applyAlignment="1" applyProtection="1">
      <alignment horizontal="center" wrapText="1"/>
    </xf>
    <xf numFmtId="0" fontId="28" fillId="0" borderId="3" xfId="0" applyFont="1" applyBorder="1" applyAlignment="1" applyProtection="1">
      <alignment vertical="center" wrapText="1"/>
    </xf>
    <xf numFmtId="0" fontId="29" fillId="0" borderId="4" xfId="0" applyFont="1" applyBorder="1" applyAlignment="1">
      <alignment vertical="center" wrapText="1"/>
    </xf>
    <xf numFmtId="0" fontId="29" fillId="0" borderId="5" xfId="0" applyFont="1" applyBorder="1" applyAlignment="1">
      <alignment vertical="center" wrapText="1"/>
    </xf>
    <xf numFmtId="164" fontId="24" fillId="3" borderId="0" xfId="0" applyNumberFormat="1" applyFont="1" applyFill="1" applyBorder="1" applyAlignment="1" applyProtection="1">
      <alignment horizontal="center" wrapText="1"/>
    </xf>
    <xf numFmtId="0" fontId="10" fillId="0" borderId="3" xfId="0" applyFont="1" applyBorder="1" applyAlignment="1" applyProtection="1">
      <alignment horizontal="center" wrapText="1"/>
    </xf>
    <xf numFmtId="0" fontId="10" fillId="0" borderId="4" xfId="0" applyFont="1" applyBorder="1" applyAlignment="1" applyProtection="1">
      <alignment horizontal="center" wrapText="1"/>
    </xf>
    <xf numFmtId="0" fontId="10" fillId="0" borderId="5" xfId="0" applyFont="1" applyBorder="1" applyAlignment="1" applyProtection="1">
      <alignment horizontal="center" wrapText="1"/>
    </xf>
    <xf numFmtId="0" fontId="21" fillId="0" borderId="3" xfId="0" applyFont="1" applyBorder="1" applyAlignment="1" applyProtection="1">
      <alignment horizontal="center" wrapText="1"/>
    </xf>
    <xf numFmtId="0" fontId="21" fillId="0" borderId="4" xfId="0" applyFont="1" applyBorder="1" applyAlignment="1" applyProtection="1">
      <alignment horizontal="center" wrapText="1"/>
    </xf>
    <xf numFmtId="0" fontId="21" fillId="0" borderId="5" xfId="0" applyFont="1" applyBorder="1" applyAlignment="1" applyProtection="1">
      <alignment horizontal="center" wrapText="1"/>
    </xf>
    <xf numFmtId="0" fontId="23" fillId="0" borderId="4" xfId="0" applyFont="1" applyBorder="1" applyAlignment="1" applyProtection="1">
      <alignment horizontal="left" vertical="center" wrapText="1"/>
    </xf>
    <xf numFmtId="0" fontId="5" fillId="3" borderId="14" xfId="0" applyFont="1" applyFill="1" applyBorder="1" applyAlignment="1" applyProtection="1">
      <alignment horizontal="center" wrapText="1"/>
    </xf>
    <xf numFmtId="0" fontId="34" fillId="3" borderId="11" xfId="0" applyFont="1" applyFill="1" applyBorder="1" applyAlignment="1" applyProtection="1">
      <alignment horizontal="center" wrapText="1"/>
    </xf>
    <xf numFmtId="0" fontId="34" fillId="3" borderId="15" xfId="0" applyFont="1" applyFill="1" applyBorder="1" applyAlignment="1" applyProtection="1">
      <alignment horizontal="center" wrapText="1"/>
    </xf>
    <xf numFmtId="0" fontId="16" fillId="10" borderId="11" xfId="0" applyFont="1" applyFill="1" applyBorder="1" applyAlignment="1" applyProtection="1">
      <alignment horizontal="left" vertical="center" wrapText="1"/>
    </xf>
    <xf numFmtId="0" fontId="16" fillId="10" borderId="11" xfId="0" applyFont="1" applyFill="1" applyBorder="1" applyAlignment="1">
      <alignment horizontal="center" vertical="center" wrapText="1"/>
    </xf>
    <xf numFmtId="0" fontId="16" fillId="10" borderId="14" xfId="0" applyFont="1" applyFill="1" applyBorder="1" applyAlignment="1">
      <alignment horizontal="left" vertical="center" wrapText="1"/>
    </xf>
    <xf numFmtId="0" fontId="0" fillId="10" borderId="14" xfId="0" applyFill="1" applyBorder="1" applyAlignment="1">
      <alignment horizontal="center" wrapText="1"/>
    </xf>
    <xf numFmtId="0" fontId="8" fillId="0" borderId="3" xfId="0" applyFont="1" applyBorder="1" applyAlignment="1" applyProtection="1">
      <alignment horizontal="left" wrapText="1"/>
    </xf>
    <xf numFmtId="0" fontId="8" fillId="0" borderId="4" xfId="0" applyFont="1" applyBorder="1" applyAlignment="1" applyProtection="1">
      <alignment horizontal="left" wrapText="1"/>
    </xf>
    <xf numFmtId="0" fontId="8" fillId="0" borderId="5" xfId="0" applyFont="1" applyBorder="1" applyAlignment="1" applyProtection="1">
      <alignment horizontal="left" wrapText="1"/>
    </xf>
    <xf numFmtId="0" fontId="16" fillId="10" borderId="11" xfId="0" applyFont="1" applyFill="1" applyBorder="1" applyAlignment="1">
      <alignment horizontal="left" vertical="center" wrapText="1"/>
    </xf>
    <xf numFmtId="0" fontId="0" fillId="10" borderId="11" xfId="0" applyFill="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colors>
    <mruColors>
      <color rgb="FFCCECFF"/>
      <color rgb="FFFFFFCC"/>
      <color rgb="FFB6FDA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85725</xdr:colOff>
          <xdr:row>0</xdr:row>
          <xdr:rowOff>0</xdr:rowOff>
        </xdr:from>
        <xdr:to>
          <xdr:col>6</xdr:col>
          <xdr:colOff>819150</xdr:colOff>
          <xdr:row>0</xdr:row>
          <xdr:rowOff>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en-US" sz="1200" b="1" i="0" u="none" strike="noStrike" baseline="0">
                  <a:solidFill>
                    <a:srgbClr val="0000FF"/>
                  </a:solidFill>
                  <a:latin typeface="Arial"/>
                  <a:cs typeface="Arial"/>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95250</xdr:colOff>
      <xdr:row>11</xdr:row>
      <xdr:rowOff>504829</xdr:rowOff>
    </xdr:from>
    <xdr:to>
      <xdr:col>7</xdr:col>
      <xdr:colOff>174625</xdr:colOff>
      <xdr:row>16</xdr:row>
      <xdr:rowOff>7389</xdr:rowOff>
    </xdr:to>
    <xdr:grpSp>
      <xdr:nvGrpSpPr>
        <xdr:cNvPr id="22" name="Group 21"/>
        <xdr:cNvGrpSpPr/>
      </xdr:nvGrpSpPr>
      <xdr:grpSpPr>
        <a:xfrm>
          <a:off x="3511296" y="4204720"/>
          <a:ext cx="2030095" cy="996080"/>
          <a:chOff x="3352800" y="4127610"/>
          <a:chExt cx="2032000" cy="1194725"/>
        </a:xfrm>
      </xdr:grpSpPr>
      <xdr:sp macro="" textlink="">
        <xdr:nvSpPr>
          <xdr:cNvPr id="19" name="TextBox 18"/>
          <xdr:cNvSpPr txBox="1"/>
        </xdr:nvSpPr>
        <xdr:spPr>
          <a:xfrm>
            <a:off x="4200260" y="4127610"/>
            <a:ext cx="337080" cy="264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t>
            </a:r>
            <a:r>
              <a:rPr lang="en-US" sz="1100" baseline="-25000"/>
              <a:t>W</a:t>
            </a:r>
            <a:endParaRPr lang="en-US" sz="1100"/>
          </a:p>
        </xdr:txBody>
      </xdr:sp>
      <xdr:grpSp>
        <xdr:nvGrpSpPr>
          <xdr:cNvPr id="21" name="Group 20"/>
          <xdr:cNvGrpSpPr/>
        </xdr:nvGrpSpPr>
        <xdr:grpSpPr>
          <a:xfrm>
            <a:off x="3352800" y="4400550"/>
            <a:ext cx="2032000" cy="921785"/>
            <a:chOff x="3352800" y="4400550"/>
            <a:chExt cx="2032000" cy="921785"/>
          </a:xfrm>
        </xdr:grpSpPr>
        <xdr:grpSp>
          <xdr:nvGrpSpPr>
            <xdr:cNvPr id="18" name="Group 17"/>
            <xdr:cNvGrpSpPr/>
          </xdr:nvGrpSpPr>
          <xdr:grpSpPr>
            <a:xfrm>
              <a:off x="3352800" y="4400550"/>
              <a:ext cx="2032000" cy="695325"/>
              <a:chOff x="2886075" y="4400550"/>
              <a:chExt cx="2032000" cy="695325"/>
            </a:xfrm>
          </xdr:grpSpPr>
          <xdr:sp macro="" textlink="">
            <xdr:nvSpPr>
              <xdr:cNvPr id="3" name="Trapezoid 2"/>
              <xdr:cNvSpPr/>
            </xdr:nvSpPr>
            <xdr:spPr>
              <a:xfrm flipV="1">
                <a:off x="2886075" y="4400550"/>
                <a:ext cx="2032000" cy="695325"/>
              </a:xfrm>
              <a:prstGeom prst="trapezoid">
                <a:avLst>
                  <a:gd name="adj" fmla="val 104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bg1"/>
                    </a:solidFill>
                  </a:rPr>
                  <a:t>p</a:t>
                </a:r>
              </a:p>
            </xdr:txBody>
          </xdr:sp>
          <xdr:cxnSp macro="">
            <xdr:nvCxnSpPr>
              <xdr:cNvPr id="5" name="Straight Connector 4"/>
              <xdr:cNvCxnSpPr/>
            </xdr:nvCxnSpPr>
            <xdr:spPr>
              <a:xfrm rot="16200000" flipH="1">
                <a:off x="3468688" y="4754562"/>
                <a:ext cx="660400" cy="3175"/>
              </a:xfrm>
              <a:prstGeom prst="line">
                <a:avLst/>
              </a:prstGeom>
              <a:ln w="38100">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grpSp>
        <xdr:sp macro="" textlink="">
          <xdr:nvSpPr>
            <xdr:cNvPr id="20" name="TextBox 19"/>
            <xdr:cNvSpPr txBox="1"/>
          </xdr:nvSpPr>
          <xdr:spPr>
            <a:xfrm>
              <a:off x="4196253" y="5057775"/>
              <a:ext cx="345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B</a:t>
              </a:r>
              <a:r>
                <a:rPr lang="en-US" sz="1100" baseline="-25000"/>
                <a:t>W</a:t>
              </a:r>
            </a:p>
          </xdr:txBody>
        </xdr:sp>
      </xdr:grpSp>
    </xdr:grpSp>
    <xdr:clientData/>
  </xdr:twoCellAnchor>
  <xdr:twoCellAnchor>
    <xdr:from>
      <xdr:col>4</xdr:col>
      <xdr:colOff>95250</xdr:colOff>
      <xdr:row>39</xdr:row>
      <xdr:rowOff>542929</xdr:rowOff>
    </xdr:from>
    <xdr:to>
      <xdr:col>7</xdr:col>
      <xdr:colOff>174625</xdr:colOff>
      <xdr:row>43</xdr:row>
      <xdr:rowOff>169314</xdr:rowOff>
    </xdr:to>
    <xdr:grpSp>
      <xdr:nvGrpSpPr>
        <xdr:cNvPr id="23" name="Group 22"/>
        <xdr:cNvGrpSpPr/>
      </xdr:nvGrpSpPr>
      <xdr:grpSpPr>
        <a:xfrm>
          <a:off x="3511296" y="12763504"/>
          <a:ext cx="2030095" cy="932072"/>
          <a:chOff x="3352800" y="4127610"/>
          <a:chExt cx="2032000" cy="1194725"/>
        </a:xfrm>
      </xdr:grpSpPr>
      <xdr:sp macro="" textlink="">
        <xdr:nvSpPr>
          <xdr:cNvPr id="24" name="TextBox 23"/>
          <xdr:cNvSpPr txBox="1"/>
        </xdr:nvSpPr>
        <xdr:spPr>
          <a:xfrm>
            <a:off x="4200260" y="4127610"/>
            <a:ext cx="337080" cy="264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t>
            </a:r>
            <a:r>
              <a:rPr lang="en-US" sz="1100" baseline="-25000"/>
              <a:t>W</a:t>
            </a:r>
            <a:endParaRPr lang="en-US" sz="1100"/>
          </a:p>
        </xdr:txBody>
      </xdr:sp>
      <xdr:grpSp>
        <xdr:nvGrpSpPr>
          <xdr:cNvPr id="25" name="Group 20"/>
          <xdr:cNvGrpSpPr/>
        </xdr:nvGrpSpPr>
        <xdr:grpSpPr>
          <a:xfrm>
            <a:off x="3352800" y="4400550"/>
            <a:ext cx="2032000" cy="921785"/>
            <a:chOff x="3352800" y="4400550"/>
            <a:chExt cx="2032000" cy="921785"/>
          </a:xfrm>
        </xdr:grpSpPr>
        <xdr:grpSp>
          <xdr:nvGrpSpPr>
            <xdr:cNvPr id="26" name="Group 17"/>
            <xdr:cNvGrpSpPr/>
          </xdr:nvGrpSpPr>
          <xdr:grpSpPr>
            <a:xfrm>
              <a:off x="3352800" y="4400550"/>
              <a:ext cx="2032000" cy="695325"/>
              <a:chOff x="2886075" y="4400550"/>
              <a:chExt cx="2032000" cy="695325"/>
            </a:xfrm>
          </xdr:grpSpPr>
          <xdr:sp macro="" textlink="">
            <xdr:nvSpPr>
              <xdr:cNvPr id="28" name="Trapezoid 27"/>
              <xdr:cNvSpPr/>
            </xdr:nvSpPr>
            <xdr:spPr>
              <a:xfrm flipV="1">
                <a:off x="2886075" y="4400550"/>
                <a:ext cx="2032000" cy="695325"/>
              </a:xfrm>
              <a:prstGeom prst="trapezoid">
                <a:avLst>
                  <a:gd name="adj" fmla="val 104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bg1"/>
                    </a:solidFill>
                  </a:rPr>
                  <a:t>p</a:t>
                </a:r>
              </a:p>
            </xdr:txBody>
          </xdr:sp>
          <xdr:cxnSp macro="">
            <xdr:nvCxnSpPr>
              <xdr:cNvPr id="29" name="Straight Connector 4"/>
              <xdr:cNvCxnSpPr/>
            </xdr:nvCxnSpPr>
            <xdr:spPr>
              <a:xfrm rot="16200000" flipH="1">
                <a:off x="3468688" y="4754562"/>
                <a:ext cx="660400" cy="3175"/>
              </a:xfrm>
              <a:prstGeom prst="line">
                <a:avLst/>
              </a:prstGeom>
              <a:ln w="38100">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grpSp>
        <xdr:sp macro="" textlink="">
          <xdr:nvSpPr>
            <xdr:cNvPr id="27" name="TextBox 26"/>
            <xdr:cNvSpPr txBox="1"/>
          </xdr:nvSpPr>
          <xdr:spPr>
            <a:xfrm>
              <a:off x="4196253" y="5057775"/>
              <a:ext cx="345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B</a:t>
              </a:r>
              <a:r>
                <a:rPr lang="en-US" sz="1100" baseline="-25000"/>
                <a:t>W</a:t>
              </a:r>
            </a:p>
          </xdr:txBody>
        </xdr:sp>
      </xdr:grpSp>
    </xdr:grpSp>
    <xdr:clientData/>
  </xdr:twoCellAnchor>
  <xdr:twoCellAnchor>
    <xdr:from>
      <xdr:col>4</xdr:col>
      <xdr:colOff>95250</xdr:colOff>
      <xdr:row>68</xdr:row>
      <xdr:rowOff>4</xdr:rowOff>
    </xdr:from>
    <xdr:to>
      <xdr:col>7</xdr:col>
      <xdr:colOff>174625</xdr:colOff>
      <xdr:row>72</xdr:row>
      <xdr:rowOff>7389</xdr:rowOff>
    </xdr:to>
    <xdr:grpSp>
      <xdr:nvGrpSpPr>
        <xdr:cNvPr id="30" name="Group 29"/>
        <xdr:cNvGrpSpPr/>
      </xdr:nvGrpSpPr>
      <xdr:grpSpPr>
        <a:xfrm>
          <a:off x="3511296" y="21314668"/>
          <a:ext cx="2030095" cy="930548"/>
          <a:chOff x="3352800" y="4127610"/>
          <a:chExt cx="2032000" cy="1194725"/>
        </a:xfrm>
      </xdr:grpSpPr>
      <xdr:sp macro="" textlink="">
        <xdr:nvSpPr>
          <xdr:cNvPr id="31" name="TextBox 30"/>
          <xdr:cNvSpPr txBox="1"/>
        </xdr:nvSpPr>
        <xdr:spPr>
          <a:xfrm>
            <a:off x="4200260" y="4127610"/>
            <a:ext cx="337080" cy="264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t>
            </a:r>
            <a:r>
              <a:rPr lang="en-US" sz="1100" baseline="-25000"/>
              <a:t>W</a:t>
            </a:r>
            <a:endParaRPr lang="en-US" sz="1100"/>
          </a:p>
        </xdr:txBody>
      </xdr:sp>
      <xdr:grpSp>
        <xdr:nvGrpSpPr>
          <xdr:cNvPr id="32" name="Group 20"/>
          <xdr:cNvGrpSpPr/>
        </xdr:nvGrpSpPr>
        <xdr:grpSpPr>
          <a:xfrm>
            <a:off x="3352800" y="4400550"/>
            <a:ext cx="2032000" cy="921785"/>
            <a:chOff x="3352800" y="4400550"/>
            <a:chExt cx="2032000" cy="921785"/>
          </a:xfrm>
        </xdr:grpSpPr>
        <xdr:grpSp>
          <xdr:nvGrpSpPr>
            <xdr:cNvPr id="33" name="Group 17"/>
            <xdr:cNvGrpSpPr/>
          </xdr:nvGrpSpPr>
          <xdr:grpSpPr>
            <a:xfrm>
              <a:off x="3352800" y="4400550"/>
              <a:ext cx="2032000" cy="695325"/>
              <a:chOff x="2886075" y="4400550"/>
              <a:chExt cx="2032000" cy="695325"/>
            </a:xfrm>
          </xdr:grpSpPr>
          <xdr:sp macro="" textlink="">
            <xdr:nvSpPr>
              <xdr:cNvPr id="35" name="Trapezoid 34"/>
              <xdr:cNvSpPr/>
            </xdr:nvSpPr>
            <xdr:spPr>
              <a:xfrm flipV="1">
                <a:off x="2886075" y="4400550"/>
                <a:ext cx="2032000" cy="695325"/>
              </a:xfrm>
              <a:prstGeom prst="trapezoid">
                <a:avLst>
                  <a:gd name="adj" fmla="val 104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bg1"/>
                    </a:solidFill>
                  </a:rPr>
                  <a:t>p</a:t>
                </a:r>
              </a:p>
            </xdr:txBody>
          </xdr:sp>
          <xdr:cxnSp macro="">
            <xdr:nvCxnSpPr>
              <xdr:cNvPr id="36" name="Straight Connector 4"/>
              <xdr:cNvCxnSpPr/>
            </xdr:nvCxnSpPr>
            <xdr:spPr>
              <a:xfrm rot="16200000" flipH="1">
                <a:off x="3468688" y="4754562"/>
                <a:ext cx="660400" cy="3175"/>
              </a:xfrm>
              <a:prstGeom prst="line">
                <a:avLst/>
              </a:prstGeom>
              <a:ln w="38100">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grpSp>
        <xdr:sp macro="" textlink="">
          <xdr:nvSpPr>
            <xdr:cNvPr id="34" name="TextBox 33"/>
            <xdr:cNvSpPr txBox="1"/>
          </xdr:nvSpPr>
          <xdr:spPr>
            <a:xfrm>
              <a:off x="4196253" y="5057775"/>
              <a:ext cx="345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B</a:t>
              </a:r>
              <a:r>
                <a:rPr lang="en-US" sz="1100" baseline="-25000"/>
                <a:t>W</a:t>
              </a:r>
            </a:p>
          </xdr:txBody>
        </xdr:sp>
      </xdr:grpSp>
    </xdr:grpSp>
    <xdr:clientData/>
  </xdr:twoCellAnchor>
  <xdr:twoCellAnchor>
    <xdr:from>
      <xdr:col>4</xdr:col>
      <xdr:colOff>95250</xdr:colOff>
      <xdr:row>96</xdr:row>
      <xdr:rowOff>4</xdr:rowOff>
    </xdr:from>
    <xdr:to>
      <xdr:col>7</xdr:col>
      <xdr:colOff>174625</xdr:colOff>
      <xdr:row>100</xdr:row>
      <xdr:rowOff>7389</xdr:rowOff>
    </xdr:to>
    <xdr:grpSp>
      <xdr:nvGrpSpPr>
        <xdr:cNvPr id="37" name="Group 36"/>
        <xdr:cNvGrpSpPr/>
      </xdr:nvGrpSpPr>
      <xdr:grpSpPr>
        <a:xfrm>
          <a:off x="3511296" y="29836876"/>
          <a:ext cx="2030095" cy="930548"/>
          <a:chOff x="3352800" y="4127610"/>
          <a:chExt cx="2032000" cy="1194725"/>
        </a:xfrm>
      </xdr:grpSpPr>
      <xdr:sp macro="" textlink="">
        <xdr:nvSpPr>
          <xdr:cNvPr id="38" name="TextBox 37"/>
          <xdr:cNvSpPr txBox="1"/>
        </xdr:nvSpPr>
        <xdr:spPr>
          <a:xfrm>
            <a:off x="4200260" y="4127610"/>
            <a:ext cx="337080" cy="264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t>
            </a:r>
            <a:r>
              <a:rPr lang="en-US" sz="1100" baseline="-25000"/>
              <a:t>W</a:t>
            </a:r>
            <a:endParaRPr lang="en-US" sz="1100"/>
          </a:p>
        </xdr:txBody>
      </xdr:sp>
      <xdr:grpSp>
        <xdr:nvGrpSpPr>
          <xdr:cNvPr id="39" name="Group 20"/>
          <xdr:cNvGrpSpPr/>
        </xdr:nvGrpSpPr>
        <xdr:grpSpPr>
          <a:xfrm>
            <a:off x="3352800" y="4400550"/>
            <a:ext cx="2032000" cy="921785"/>
            <a:chOff x="3352800" y="4400550"/>
            <a:chExt cx="2032000" cy="921785"/>
          </a:xfrm>
        </xdr:grpSpPr>
        <xdr:grpSp>
          <xdr:nvGrpSpPr>
            <xdr:cNvPr id="40" name="Group 17"/>
            <xdr:cNvGrpSpPr/>
          </xdr:nvGrpSpPr>
          <xdr:grpSpPr>
            <a:xfrm>
              <a:off x="3352800" y="4400550"/>
              <a:ext cx="2032000" cy="695325"/>
              <a:chOff x="2886075" y="4400550"/>
              <a:chExt cx="2032000" cy="695325"/>
            </a:xfrm>
          </xdr:grpSpPr>
          <xdr:sp macro="" textlink="">
            <xdr:nvSpPr>
              <xdr:cNvPr id="42" name="Trapezoid 41"/>
              <xdr:cNvSpPr/>
            </xdr:nvSpPr>
            <xdr:spPr>
              <a:xfrm flipV="1">
                <a:off x="2886075" y="4400550"/>
                <a:ext cx="2032000" cy="695325"/>
              </a:xfrm>
              <a:prstGeom prst="trapezoid">
                <a:avLst>
                  <a:gd name="adj" fmla="val 104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bg1"/>
                    </a:solidFill>
                  </a:rPr>
                  <a:t>p</a:t>
                </a:r>
              </a:p>
            </xdr:txBody>
          </xdr:sp>
          <xdr:cxnSp macro="">
            <xdr:nvCxnSpPr>
              <xdr:cNvPr id="43" name="Straight Connector 4"/>
              <xdr:cNvCxnSpPr/>
            </xdr:nvCxnSpPr>
            <xdr:spPr>
              <a:xfrm rot="16200000" flipH="1">
                <a:off x="3468688" y="4754562"/>
                <a:ext cx="660400" cy="3175"/>
              </a:xfrm>
              <a:prstGeom prst="line">
                <a:avLst/>
              </a:prstGeom>
              <a:ln w="38100">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grpSp>
        <xdr:sp macro="" textlink="">
          <xdr:nvSpPr>
            <xdr:cNvPr id="41" name="TextBox 40"/>
            <xdr:cNvSpPr txBox="1"/>
          </xdr:nvSpPr>
          <xdr:spPr>
            <a:xfrm>
              <a:off x="4196253" y="5057775"/>
              <a:ext cx="345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B</a:t>
              </a:r>
              <a:r>
                <a:rPr lang="en-US" sz="1100" baseline="-25000"/>
                <a:t>W</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400051</xdr:colOff>
      <xdr:row>24</xdr:row>
      <xdr:rowOff>130639</xdr:rowOff>
    </xdr:from>
    <xdr:to>
      <xdr:col>7</xdr:col>
      <xdr:colOff>314326</xdr:colOff>
      <xdr:row>34</xdr:row>
      <xdr:rowOff>114300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371601" y="5245564"/>
          <a:ext cx="4210050" cy="1888661"/>
        </a:xfrm>
        <a:prstGeom prst="rect">
          <a:avLst/>
        </a:prstGeom>
        <a:noFill/>
      </xdr:spPr>
    </xdr:pic>
    <xdr:clientData/>
  </xdr:twoCellAnchor>
  <xdr:twoCellAnchor editAs="oneCell">
    <xdr:from>
      <xdr:col>1</xdr:col>
      <xdr:colOff>400051</xdr:colOff>
      <xdr:row>65</xdr:row>
      <xdr:rowOff>130639</xdr:rowOff>
    </xdr:from>
    <xdr:to>
      <xdr:col>7</xdr:col>
      <xdr:colOff>314326</xdr:colOff>
      <xdr:row>75</xdr:row>
      <xdr:rowOff>114300</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371601" y="5683714"/>
          <a:ext cx="4210050" cy="1888661"/>
        </a:xfrm>
        <a:prstGeom prst="rect">
          <a:avLst/>
        </a:prstGeom>
        <a:noFill/>
      </xdr:spPr>
    </xdr:pic>
    <xdr:clientData/>
  </xdr:twoCellAnchor>
  <xdr:twoCellAnchor editAs="oneCell">
    <xdr:from>
      <xdr:col>1</xdr:col>
      <xdr:colOff>400051</xdr:colOff>
      <xdr:row>105</xdr:row>
      <xdr:rowOff>130639</xdr:rowOff>
    </xdr:from>
    <xdr:to>
      <xdr:col>7</xdr:col>
      <xdr:colOff>314326</xdr:colOff>
      <xdr:row>115</xdr:row>
      <xdr:rowOff>114300</xdr:rowOff>
    </xdr:to>
    <xdr:pic>
      <xdr:nvPicPr>
        <xdr:cNvPr id="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71601" y="5683714"/>
          <a:ext cx="4210050" cy="1888661"/>
        </a:xfrm>
        <a:prstGeom prst="rect">
          <a:avLst/>
        </a:prstGeom>
        <a:noFill/>
      </xdr:spPr>
    </xdr:pic>
    <xdr:clientData/>
  </xdr:twoCellAnchor>
  <xdr:twoCellAnchor editAs="oneCell">
    <xdr:from>
      <xdr:col>1</xdr:col>
      <xdr:colOff>400051</xdr:colOff>
      <xdr:row>144</xdr:row>
      <xdr:rowOff>130639</xdr:rowOff>
    </xdr:from>
    <xdr:to>
      <xdr:col>7</xdr:col>
      <xdr:colOff>314326</xdr:colOff>
      <xdr:row>154</xdr:row>
      <xdr:rowOff>114300</xdr:rowOff>
    </xdr:to>
    <xdr:pic>
      <xdr:nvPicPr>
        <xdr:cNvPr id="6"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371601" y="5683714"/>
          <a:ext cx="4210050" cy="188866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400051</xdr:colOff>
      <xdr:row>25</xdr:row>
      <xdr:rowOff>130639</xdr:rowOff>
    </xdr:from>
    <xdr:to>
      <xdr:col>7</xdr:col>
      <xdr:colOff>295276</xdr:colOff>
      <xdr:row>35</xdr:row>
      <xdr:rowOff>114300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371601" y="5493214"/>
          <a:ext cx="4210050" cy="1888661"/>
        </a:xfrm>
        <a:prstGeom prst="rect">
          <a:avLst/>
        </a:prstGeom>
        <a:noFill/>
      </xdr:spPr>
    </xdr:pic>
    <xdr:clientData/>
  </xdr:twoCellAnchor>
  <xdr:twoCellAnchor editAs="oneCell">
    <xdr:from>
      <xdr:col>1</xdr:col>
      <xdr:colOff>400051</xdr:colOff>
      <xdr:row>25</xdr:row>
      <xdr:rowOff>130639</xdr:rowOff>
    </xdr:from>
    <xdr:to>
      <xdr:col>7</xdr:col>
      <xdr:colOff>76201</xdr:colOff>
      <xdr:row>35</xdr:row>
      <xdr:rowOff>114300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371601" y="5874214"/>
          <a:ext cx="4210050" cy="1888661"/>
        </a:xfrm>
        <a:prstGeom prst="rect">
          <a:avLst/>
        </a:prstGeom>
        <a:noFill/>
      </xdr:spPr>
    </xdr:pic>
    <xdr:clientData/>
  </xdr:twoCellAnchor>
  <xdr:twoCellAnchor editAs="oneCell">
    <xdr:from>
      <xdr:col>1</xdr:col>
      <xdr:colOff>400051</xdr:colOff>
      <xdr:row>64</xdr:row>
      <xdr:rowOff>130639</xdr:rowOff>
    </xdr:from>
    <xdr:to>
      <xdr:col>7</xdr:col>
      <xdr:colOff>76201</xdr:colOff>
      <xdr:row>74</xdr:row>
      <xdr:rowOff>114300</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371601" y="13732339"/>
          <a:ext cx="4210050" cy="1888661"/>
        </a:xfrm>
        <a:prstGeom prst="rect">
          <a:avLst/>
        </a:prstGeom>
        <a:noFill/>
      </xdr:spPr>
    </xdr:pic>
    <xdr:clientData/>
  </xdr:twoCellAnchor>
  <xdr:twoCellAnchor editAs="oneCell">
    <xdr:from>
      <xdr:col>1</xdr:col>
      <xdr:colOff>400051</xdr:colOff>
      <xdr:row>103</xdr:row>
      <xdr:rowOff>130639</xdr:rowOff>
    </xdr:from>
    <xdr:to>
      <xdr:col>7</xdr:col>
      <xdr:colOff>76201</xdr:colOff>
      <xdr:row>113</xdr:row>
      <xdr:rowOff>114300</xdr:rowOff>
    </xdr:to>
    <xdr:pic>
      <xdr:nvPicPr>
        <xdr:cNvPr id="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71601" y="22142914"/>
          <a:ext cx="4210050" cy="1888661"/>
        </a:xfrm>
        <a:prstGeom prst="rect">
          <a:avLst/>
        </a:prstGeom>
        <a:noFill/>
      </xdr:spPr>
    </xdr:pic>
    <xdr:clientData/>
  </xdr:twoCellAnchor>
  <xdr:twoCellAnchor editAs="oneCell">
    <xdr:from>
      <xdr:col>1</xdr:col>
      <xdr:colOff>400051</xdr:colOff>
      <xdr:row>143</xdr:row>
      <xdr:rowOff>130639</xdr:rowOff>
    </xdr:from>
    <xdr:to>
      <xdr:col>7</xdr:col>
      <xdr:colOff>76201</xdr:colOff>
      <xdr:row>153</xdr:row>
      <xdr:rowOff>114300</xdr:rowOff>
    </xdr:to>
    <xdr:pic>
      <xdr:nvPicPr>
        <xdr:cNvPr id="6"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371601" y="30591589"/>
          <a:ext cx="4210050" cy="188866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6"/>
  <sheetViews>
    <sheetView tabSelected="1" view="pageLayout" zoomScale="150" zoomScaleNormal="100" zoomScalePageLayoutView="150" workbookViewId="0">
      <selection activeCell="C8" sqref="C8"/>
    </sheetView>
  </sheetViews>
  <sheetFormatPr defaultRowHeight="15" x14ac:dyDescent="0.25"/>
  <cols>
    <col min="1" max="1" width="13.42578125" style="5" customWidth="1"/>
    <col min="2" max="2" width="12.28515625" style="5" customWidth="1"/>
    <col min="3" max="3" width="14.7109375" style="5" customWidth="1"/>
    <col min="4" max="4" width="14.5703125" style="5" customWidth="1"/>
    <col min="5" max="5" width="11.140625" style="5" customWidth="1"/>
    <col min="6" max="6" width="10.5703125" style="5" customWidth="1"/>
    <col min="7" max="7" width="13.140625" style="5" customWidth="1"/>
    <col min="8" max="8" width="10.140625" style="5" bestFit="1" customWidth="1"/>
    <col min="9" max="16384" width="9.140625" style="5"/>
  </cols>
  <sheetData>
    <row r="1" spans="1:10" s="382" customFormat="1" ht="15" customHeight="1" x14ac:dyDescent="0.25">
      <c r="A1" s="648" t="s">
        <v>601</v>
      </c>
      <c r="B1" s="649"/>
      <c r="C1" s="649"/>
      <c r="D1" s="649"/>
      <c r="E1" s="649"/>
      <c r="F1" s="649"/>
      <c r="G1" s="202"/>
    </row>
    <row r="2" spans="1:10" s="382" customFormat="1" x14ac:dyDescent="0.25">
      <c r="A2" s="650"/>
      <c r="B2" s="651"/>
      <c r="C2" s="651"/>
      <c r="D2" s="651"/>
      <c r="E2" s="651"/>
      <c r="F2" s="651"/>
      <c r="G2" s="449"/>
    </row>
    <row r="3" spans="1:10" s="382" customFormat="1" ht="15" customHeight="1" x14ac:dyDescent="0.25">
      <c r="A3" s="432" t="s">
        <v>600</v>
      </c>
      <c r="B3" s="70"/>
      <c r="C3" s="203"/>
      <c r="D3" s="664" t="str">
        <f>IF(G2="","",IF(G2="Yes","This workbook can not be used.","Manually enter P, Total Area and Impervious Cover."))</f>
        <v/>
      </c>
      <c r="E3" s="664"/>
      <c r="F3" s="664"/>
      <c r="G3" s="664"/>
    </row>
    <row r="4" spans="1:10" s="16" customFormat="1" ht="15" customHeight="1" x14ac:dyDescent="0.25">
      <c r="A4" s="326" t="s">
        <v>222</v>
      </c>
      <c r="B4" s="450"/>
      <c r="C4" s="327" t="s">
        <v>426</v>
      </c>
      <c r="D4" s="665"/>
      <c r="E4" s="666"/>
      <c r="F4" s="666"/>
      <c r="G4" s="666"/>
    </row>
    <row r="5" spans="1:10" x14ac:dyDescent="0.25">
      <c r="A5" s="645" t="s">
        <v>75</v>
      </c>
      <c r="B5" s="645"/>
      <c r="C5" s="645"/>
      <c r="D5" s="645"/>
      <c r="E5" s="645"/>
      <c r="F5" s="645"/>
      <c r="G5" s="645"/>
    </row>
    <row r="6" spans="1:10" ht="45.2" customHeight="1" x14ac:dyDescent="0.25">
      <c r="A6" s="504" t="s">
        <v>493</v>
      </c>
      <c r="B6" s="505" t="s">
        <v>610</v>
      </c>
      <c r="C6" s="578" t="s">
        <v>611</v>
      </c>
      <c r="D6" s="505" t="s">
        <v>612</v>
      </c>
      <c r="E6" s="505" t="s">
        <v>7</v>
      </c>
      <c r="F6" s="505" t="s">
        <v>613</v>
      </c>
      <c r="G6" s="506" t="s">
        <v>29</v>
      </c>
      <c r="I6" s="399"/>
    </row>
    <row r="7" spans="1:10" x14ac:dyDescent="0.25">
      <c r="A7" s="445">
        <v>1</v>
      </c>
      <c r="B7" s="104"/>
      <c r="C7" s="400"/>
      <c r="D7" s="214" t="str">
        <f t="shared" ref="D7:D16" si="0">IFERROR(C7/B7,"")</f>
        <v/>
      </c>
      <c r="E7" s="148" t="str">
        <f t="shared" ref="E7:E16" si="1">IFERROR(0.05+0.009*D7*100,"")</f>
        <v/>
      </c>
      <c r="F7" s="431" t="str">
        <f t="shared" ref="F7:F16" si="2">IFERROR((B7*$B$4*E7/12)*43560,"")</f>
        <v/>
      </c>
      <c r="G7" s="401"/>
      <c r="H7" s="382"/>
      <c r="I7" s="382"/>
      <c r="J7" s="399"/>
    </row>
    <row r="8" spans="1:10" x14ac:dyDescent="0.25">
      <c r="A8" s="445">
        <v>2</v>
      </c>
      <c r="B8" s="104"/>
      <c r="C8" s="400"/>
      <c r="D8" s="214" t="str">
        <f t="shared" si="0"/>
        <v/>
      </c>
      <c r="E8" s="148" t="str">
        <f t="shared" si="1"/>
        <v/>
      </c>
      <c r="F8" s="431" t="str">
        <f t="shared" si="2"/>
        <v/>
      </c>
      <c r="G8" s="401"/>
      <c r="H8" s="382"/>
      <c r="I8" s="382"/>
    </row>
    <row r="9" spans="1:10" x14ac:dyDescent="0.25">
      <c r="A9" s="445">
        <v>3</v>
      </c>
      <c r="B9" s="104"/>
      <c r="C9" s="400"/>
      <c r="D9" s="214" t="str">
        <f t="shared" si="0"/>
        <v/>
      </c>
      <c r="E9" s="148" t="str">
        <f t="shared" si="1"/>
        <v/>
      </c>
      <c r="F9" s="431" t="str">
        <f t="shared" si="2"/>
        <v/>
      </c>
      <c r="G9" s="401"/>
      <c r="H9" s="382"/>
      <c r="I9" s="382"/>
    </row>
    <row r="10" spans="1:10" x14ac:dyDescent="0.25">
      <c r="A10" s="445">
        <v>4</v>
      </c>
      <c r="B10" s="104"/>
      <c r="C10" s="400"/>
      <c r="D10" s="214" t="str">
        <f t="shared" si="0"/>
        <v/>
      </c>
      <c r="E10" s="148" t="str">
        <f t="shared" si="1"/>
        <v/>
      </c>
      <c r="F10" s="431" t="str">
        <f t="shared" si="2"/>
        <v/>
      </c>
      <c r="G10" s="401"/>
      <c r="H10" s="382"/>
      <c r="I10" s="382"/>
    </row>
    <row r="11" spans="1:10" x14ac:dyDescent="0.25">
      <c r="A11" s="445">
        <v>5</v>
      </c>
      <c r="B11" s="104"/>
      <c r="C11" s="400"/>
      <c r="D11" s="214" t="str">
        <f t="shared" si="0"/>
        <v/>
      </c>
      <c r="E11" s="148" t="str">
        <f t="shared" si="1"/>
        <v/>
      </c>
      <c r="F11" s="431" t="str">
        <f t="shared" si="2"/>
        <v/>
      </c>
      <c r="G11" s="401"/>
      <c r="H11" s="382"/>
      <c r="I11" s="382"/>
    </row>
    <row r="12" spans="1:10" x14ac:dyDescent="0.25">
      <c r="A12" s="445">
        <v>6</v>
      </c>
      <c r="B12" s="104"/>
      <c r="C12" s="400"/>
      <c r="D12" s="214" t="str">
        <f t="shared" si="0"/>
        <v/>
      </c>
      <c r="E12" s="148" t="str">
        <f t="shared" si="1"/>
        <v/>
      </c>
      <c r="F12" s="431" t="str">
        <f t="shared" si="2"/>
        <v/>
      </c>
      <c r="G12" s="401"/>
      <c r="H12" s="382"/>
      <c r="I12" s="382"/>
    </row>
    <row r="13" spans="1:10" x14ac:dyDescent="0.25">
      <c r="A13" s="445">
        <v>7</v>
      </c>
      <c r="B13" s="104"/>
      <c r="C13" s="400"/>
      <c r="D13" s="214" t="str">
        <f t="shared" si="0"/>
        <v/>
      </c>
      <c r="E13" s="148" t="str">
        <f t="shared" si="1"/>
        <v/>
      </c>
      <c r="F13" s="431" t="str">
        <f t="shared" si="2"/>
        <v/>
      </c>
      <c r="G13" s="401"/>
      <c r="H13" s="382"/>
      <c r="I13" s="382"/>
    </row>
    <row r="14" spans="1:10" x14ac:dyDescent="0.25">
      <c r="A14" s="445">
        <v>8</v>
      </c>
      <c r="B14" s="104"/>
      <c r="C14" s="400"/>
      <c r="D14" s="214" t="str">
        <f t="shared" si="0"/>
        <v/>
      </c>
      <c r="E14" s="148" t="str">
        <f t="shared" si="1"/>
        <v/>
      </c>
      <c r="F14" s="431" t="str">
        <f t="shared" si="2"/>
        <v/>
      </c>
      <c r="G14" s="401"/>
      <c r="H14" s="382"/>
      <c r="I14" s="382"/>
    </row>
    <row r="15" spans="1:10" x14ac:dyDescent="0.25">
      <c r="A15" s="445">
        <v>9</v>
      </c>
      <c r="B15" s="104"/>
      <c r="C15" s="400"/>
      <c r="D15" s="214" t="str">
        <f t="shared" si="0"/>
        <v/>
      </c>
      <c r="E15" s="148" t="str">
        <f t="shared" si="1"/>
        <v/>
      </c>
      <c r="F15" s="431" t="str">
        <f t="shared" si="2"/>
        <v/>
      </c>
      <c r="G15" s="401"/>
      <c r="H15" s="382"/>
      <c r="I15" s="382"/>
    </row>
    <row r="16" spans="1:10" x14ac:dyDescent="0.25">
      <c r="A16" s="445">
        <v>10</v>
      </c>
      <c r="B16" s="104"/>
      <c r="C16" s="400"/>
      <c r="D16" s="214" t="str">
        <f t="shared" si="0"/>
        <v/>
      </c>
      <c r="E16" s="148" t="str">
        <f t="shared" si="1"/>
        <v/>
      </c>
      <c r="F16" s="431" t="str">
        <f t="shared" si="2"/>
        <v/>
      </c>
      <c r="G16" s="402"/>
      <c r="H16" s="382"/>
      <c r="I16" s="382"/>
    </row>
    <row r="17" spans="1:9" ht="15" customHeight="1" x14ac:dyDescent="0.25">
      <c r="A17" s="418" t="s">
        <v>616</v>
      </c>
      <c r="B17" s="419">
        <f>SUM(B7:B16,'WQv Calculation - Subtotal'!B23)</f>
        <v>0</v>
      </c>
      <c r="C17" s="419">
        <f>SUM(C7:C16,'WQv Calculation - Subtotal'!C23)</f>
        <v>0</v>
      </c>
      <c r="D17" s="451" t="str">
        <f>IF(D7="","",IFERROR(C17/B17,""))</f>
        <v/>
      </c>
      <c r="E17" s="419" t="str">
        <f>IF(E7="","",IFERROR(0.05+0.009*D17*100,""))</f>
        <v/>
      </c>
      <c r="F17" s="420">
        <f>SUM(F7:F16,'WQv Calculation - Subtotal'!F23)</f>
        <v>0</v>
      </c>
      <c r="G17" s="421" t="s">
        <v>599</v>
      </c>
      <c r="H17" s="416"/>
      <c r="I17" s="417"/>
    </row>
    <row r="18" spans="1:9" s="407" customFormat="1" ht="15" customHeight="1" x14ac:dyDescent="0.25">
      <c r="A18" s="422" t="s">
        <v>8</v>
      </c>
      <c r="B18" s="61">
        <f>B17</f>
        <v>0</v>
      </c>
      <c r="C18" s="61">
        <f>C17</f>
        <v>0</v>
      </c>
      <c r="D18" s="214" t="str">
        <f>IF(D7="","",IFERROR((C17)/(B17),""))</f>
        <v/>
      </c>
      <c r="E18" s="148" t="str">
        <f>IF(E7="","",IFERROR(0.05+0.009*D18*100,""))</f>
        <v/>
      </c>
      <c r="F18" s="247">
        <f>F17</f>
        <v>0</v>
      </c>
      <c r="G18" s="207" t="s">
        <v>485</v>
      </c>
      <c r="H18" s="246">
        <f>IF(F18="","",F18/43560)</f>
        <v>0</v>
      </c>
      <c r="I18" s="408" t="s">
        <v>473</v>
      </c>
    </row>
    <row r="19" spans="1:9" ht="7.35" customHeight="1" x14ac:dyDescent="0.25">
      <c r="A19" s="646"/>
      <c r="B19" s="646"/>
      <c r="C19" s="646"/>
      <c r="D19" s="647"/>
      <c r="E19" s="647"/>
      <c r="F19" s="646"/>
      <c r="G19" s="646"/>
      <c r="H19" s="382"/>
      <c r="I19" s="382"/>
    </row>
    <row r="20" spans="1:9" ht="15" customHeight="1" x14ac:dyDescent="0.25">
      <c r="A20" s="642" t="s">
        <v>221</v>
      </c>
      <c r="B20" s="643"/>
      <c r="C20" s="643"/>
      <c r="D20" s="643"/>
      <c r="E20" s="643"/>
      <c r="F20" s="643"/>
      <c r="G20" s="644"/>
    </row>
    <row r="21" spans="1:9" ht="45.2" customHeight="1" x14ac:dyDescent="0.25">
      <c r="A21" s="667" t="s">
        <v>77</v>
      </c>
      <c r="B21" s="669"/>
      <c r="C21" s="379" t="s">
        <v>171</v>
      </c>
      <c r="D21" s="379" t="s">
        <v>170</v>
      </c>
      <c r="E21" s="667" t="s">
        <v>30</v>
      </c>
      <c r="F21" s="668"/>
      <c r="G21" s="669"/>
    </row>
    <row r="22" spans="1:9" ht="15" customHeight="1" x14ac:dyDescent="0.25">
      <c r="A22" s="670"/>
      <c r="B22" s="672"/>
      <c r="C22" s="329" t="s">
        <v>78</v>
      </c>
      <c r="D22" s="329" t="s">
        <v>78</v>
      </c>
      <c r="E22" s="670"/>
      <c r="F22" s="671"/>
      <c r="G22" s="672"/>
    </row>
    <row r="23" spans="1:9" ht="15" customHeight="1" x14ac:dyDescent="0.25">
      <c r="A23" s="673" t="s">
        <v>219</v>
      </c>
      <c r="B23" s="674"/>
      <c r="C23" s="148">
        <f>'Conservation of Natural Areas'!E148</f>
        <v>0</v>
      </c>
      <c r="D23" s="148">
        <f>'Conservation of Natural Areas'!E149</f>
        <v>0</v>
      </c>
      <c r="E23" s="656" t="s">
        <v>332</v>
      </c>
      <c r="F23" s="657"/>
      <c r="G23" s="658"/>
    </row>
    <row r="24" spans="1:9" ht="29.25" customHeight="1" x14ac:dyDescent="0.25">
      <c r="A24" s="652" t="s">
        <v>523</v>
      </c>
      <c r="B24" s="653"/>
      <c r="C24" s="148">
        <f>+'Riparian Buffer'!J1</f>
        <v>0</v>
      </c>
      <c r="D24" s="148">
        <f>+'Riparian Buffer'!J2</f>
        <v>0</v>
      </c>
      <c r="E24" s="656" t="s">
        <v>333</v>
      </c>
      <c r="F24" s="657"/>
      <c r="G24" s="658"/>
    </row>
    <row r="25" spans="1:9" s="49" customFormat="1" ht="15" customHeight="1" x14ac:dyDescent="0.25">
      <c r="A25" s="652" t="s">
        <v>379</v>
      </c>
      <c r="B25" s="653"/>
      <c r="C25" s="148">
        <f>'Filter Strips'!D132</f>
        <v>0</v>
      </c>
      <c r="D25" s="148">
        <f>'Filter Strips'!D133</f>
        <v>0</v>
      </c>
      <c r="E25" s="659"/>
      <c r="F25" s="660"/>
      <c r="G25" s="661"/>
    </row>
    <row r="26" spans="1:9" ht="30.2" customHeight="1" x14ac:dyDescent="0.25">
      <c r="A26" s="652" t="s">
        <v>168</v>
      </c>
      <c r="B26" s="653"/>
      <c r="C26" s="148">
        <f>'Tree Planting-Tree Pits'!J1</f>
        <v>0</v>
      </c>
      <c r="D26" s="148">
        <f>+'Tree Planting-Tree Pits'!J2</f>
        <v>0</v>
      </c>
      <c r="E26" s="656" t="s">
        <v>220</v>
      </c>
      <c r="F26" s="657"/>
      <c r="G26" s="658"/>
    </row>
    <row r="27" spans="1:9" x14ac:dyDescent="0.25">
      <c r="A27" s="662" t="s">
        <v>8</v>
      </c>
      <c r="B27" s="663"/>
      <c r="C27" s="636">
        <f>SUM(C23:C26)</f>
        <v>0</v>
      </c>
      <c r="D27" s="636">
        <f>SUM(D23:D26)</f>
        <v>0</v>
      </c>
      <c r="E27" s="382"/>
      <c r="F27" s="382"/>
      <c r="G27" s="382"/>
    </row>
    <row r="28" spans="1:9" s="233" customFormat="1" ht="7.35" customHeight="1" x14ac:dyDescent="0.25">
      <c r="A28" s="244"/>
      <c r="B28" s="384"/>
      <c r="C28" s="245"/>
      <c r="D28" s="245"/>
      <c r="E28" s="382"/>
      <c r="F28" s="382"/>
      <c r="G28" s="382"/>
    </row>
    <row r="29" spans="1:9" ht="15" customHeight="1" x14ac:dyDescent="0.25">
      <c r="A29" s="642" t="s">
        <v>329</v>
      </c>
      <c r="B29" s="643"/>
      <c r="C29" s="643"/>
      <c r="D29" s="643"/>
      <c r="E29" s="643"/>
      <c r="F29" s="643"/>
      <c r="G29" s="644"/>
    </row>
    <row r="30" spans="1:9" ht="45.2" customHeight="1" x14ac:dyDescent="0.25">
      <c r="A30" s="654"/>
      <c r="B30" s="655"/>
      <c r="C30" s="504" t="s">
        <v>610</v>
      </c>
      <c r="D30" s="578" t="s">
        <v>611</v>
      </c>
      <c r="E30" s="505" t="s">
        <v>612</v>
      </c>
      <c r="F30" s="505" t="s">
        <v>618</v>
      </c>
      <c r="G30" s="506" t="s">
        <v>613</v>
      </c>
    </row>
    <row r="31" spans="1:9" ht="15" customHeight="1" x14ac:dyDescent="0.25">
      <c r="A31" s="652" t="s">
        <v>522</v>
      </c>
      <c r="B31" s="653"/>
      <c r="C31" s="61">
        <f>+B18</f>
        <v>0</v>
      </c>
      <c r="D31" s="61">
        <f>+C18</f>
        <v>0</v>
      </c>
      <c r="E31" s="453">
        <f>IF(C31=0,0,D31/C31)</f>
        <v>0</v>
      </c>
      <c r="F31" s="61">
        <f>0.05+0.009*E31*100</f>
        <v>0.05</v>
      </c>
      <c r="G31" s="381">
        <f>IF(+F18="",0,+F18)</f>
        <v>0</v>
      </c>
    </row>
    <row r="32" spans="1:9" ht="15" customHeight="1" x14ac:dyDescent="0.25">
      <c r="A32" s="652" t="s">
        <v>330</v>
      </c>
      <c r="B32" s="653"/>
      <c r="C32" s="61">
        <f>-C27</f>
        <v>0</v>
      </c>
      <c r="D32" s="61">
        <f>-D27</f>
        <v>0</v>
      </c>
      <c r="E32" s="62"/>
      <c r="F32" s="380"/>
      <c r="G32" s="381"/>
    </row>
    <row r="33" spans="1:10" ht="30.2" customHeight="1" x14ac:dyDescent="0.25">
      <c r="A33" s="679" t="s">
        <v>486</v>
      </c>
      <c r="B33" s="680"/>
      <c r="C33" s="452">
        <f>SUM(C31:C32)</f>
        <v>0</v>
      </c>
      <c r="D33" s="452">
        <f>SUM(D31:D32)</f>
        <v>0</v>
      </c>
      <c r="E33" s="62">
        <f>IF(C33=0,0,D33/C33)</f>
        <v>0</v>
      </c>
      <c r="F33" s="61">
        <f>0.05+0.009*E33*100</f>
        <v>0.05</v>
      </c>
      <c r="G33" s="383">
        <f>+B4*C33*F33/12*43560</f>
        <v>0</v>
      </c>
    </row>
    <row r="34" spans="1:10" ht="15" customHeight="1" x14ac:dyDescent="0.25">
      <c r="A34" s="652" t="s">
        <v>331</v>
      </c>
      <c r="B34" s="653"/>
      <c r="C34" s="367"/>
      <c r="D34" s="61">
        <f>Bioretention!C157+'Dry Swale'!D117+'Dry Well'!D148+'#Infiltration Basin'!D121+'Infiltration Bioretention'!J5+'Infiltration Trench'!D136+'Rain Garden'!J6</f>
        <v>0</v>
      </c>
      <c r="E34" s="367"/>
      <c r="F34" s="367"/>
      <c r="G34" s="368"/>
    </row>
    <row r="35" spans="1:10" ht="45.2" customHeight="1" x14ac:dyDescent="0.25">
      <c r="A35" s="677" t="s">
        <v>487</v>
      </c>
      <c r="B35" s="678"/>
      <c r="C35" s="61">
        <f>+C33</f>
        <v>0</v>
      </c>
      <c r="D35" s="61">
        <f>D33-D34</f>
        <v>0</v>
      </c>
      <c r="E35" s="62">
        <f>IF(D35=0,0,D35/C35)</f>
        <v>0</v>
      </c>
      <c r="F35" s="61">
        <f>0.05+0.009*E35*100</f>
        <v>0.05</v>
      </c>
      <c r="G35" s="372">
        <f>+B4*C35*F35/12*43560</f>
        <v>0</v>
      </c>
      <c r="H35" s="373">
        <f>+G35/43560</f>
        <v>0</v>
      </c>
      <c r="I35" s="374" t="s">
        <v>473</v>
      </c>
      <c r="J35" s="206"/>
    </row>
    <row r="36" spans="1:10" ht="30.2" customHeight="1" x14ac:dyDescent="0.25">
      <c r="A36" s="675" t="s">
        <v>586</v>
      </c>
      <c r="B36" s="676"/>
      <c r="C36" s="375"/>
      <c r="D36" s="375"/>
      <c r="E36" s="375"/>
      <c r="F36" s="375"/>
      <c r="G36" s="381">
        <f>G31-G35</f>
        <v>0</v>
      </c>
      <c r="H36" s="373">
        <f>+G36/43560</f>
        <v>0</v>
      </c>
      <c r="I36" s="374" t="s">
        <v>473</v>
      </c>
    </row>
  </sheetData>
  <sheetProtection password="C7D7" sheet="1" objects="1" scenarios="1" formatColumns="0" formatRows="0"/>
  <mergeCells count="24">
    <mergeCell ref="A21:B22"/>
    <mergeCell ref="E23:G23"/>
    <mergeCell ref="A23:B23"/>
    <mergeCell ref="A36:B36"/>
    <mergeCell ref="A35:B35"/>
    <mergeCell ref="A32:B32"/>
    <mergeCell ref="A34:B34"/>
    <mergeCell ref="A33:B33"/>
    <mergeCell ref="A20:G20"/>
    <mergeCell ref="A5:G5"/>
    <mergeCell ref="A19:G19"/>
    <mergeCell ref="A1:F2"/>
    <mergeCell ref="A31:B31"/>
    <mergeCell ref="A30:B30"/>
    <mergeCell ref="A29:G29"/>
    <mergeCell ref="A24:B24"/>
    <mergeCell ref="E24:G24"/>
    <mergeCell ref="E26:G26"/>
    <mergeCell ref="A26:B26"/>
    <mergeCell ref="A25:B25"/>
    <mergeCell ref="E25:G25"/>
    <mergeCell ref="A27:B27"/>
    <mergeCell ref="D3:G4"/>
    <mergeCell ref="E21:G22"/>
  </mergeCells>
  <dataValidations disablePrompts="1" count="2">
    <dataValidation type="list" allowBlank="1" showInputMessage="1" showErrorMessage="1" sqref="G7:G16">
      <formula1>Practice</formula1>
    </dataValidation>
    <dataValidation type="list" allowBlank="1" showInputMessage="1" showErrorMessage="1" sqref="G2">
      <formula1>YesNo</formula1>
    </dataValidation>
  </dataValidations>
  <pageMargins left="0.7" right="0.7" top="0.75" bottom="0.75" header="0.3" footer="0.3"/>
  <pageSetup orientation="portrait" r:id="rId1"/>
  <headerFooter>
    <oddHeader>&amp;LVersion 1.4
Last Updated: 01/23/2014&amp;CTotal Water Quality Volume Calculation
WQv(acre-feet) = [(P)(Rv)(A)] /12</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160"/>
  <sheetViews>
    <sheetView view="pageLayout" zoomScaleNormal="100" workbookViewId="0">
      <selection activeCell="A4" sqref="A4"/>
    </sheetView>
  </sheetViews>
  <sheetFormatPr defaultColWidth="9.140625" defaultRowHeight="15" x14ac:dyDescent="0.25"/>
  <cols>
    <col min="1" max="1" width="12.7109375" style="4" customWidth="1"/>
    <col min="2" max="2" width="10" style="4" customWidth="1"/>
    <col min="3" max="3" width="11.42578125" style="4" customWidth="1"/>
    <col min="4" max="4" width="10.7109375" style="4" customWidth="1"/>
    <col min="5" max="6" width="7.5703125" style="4" customWidth="1"/>
    <col min="7" max="7" width="12.140625" style="4" customWidth="1"/>
    <col min="8" max="8" width="17.85546875" style="4" customWidth="1"/>
    <col min="9" max="9" width="21.28515625" style="4" bestFit="1" customWidth="1"/>
    <col min="10" max="16384" width="9.140625" style="4"/>
  </cols>
  <sheetData>
    <row r="1" spans="1:8" s="164" customFormat="1" ht="15" customHeight="1" x14ac:dyDescent="0.25">
      <c r="A1" s="428" t="s">
        <v>600</v>
      </c>
      <c r="B1" s="426" t="str">
        <f>IF('Total WQv Calculation'!$B$3="","",'Total WQv Calculation'!$B$3)</f>
        <v/>
      </c>
    </row>
    <row r="2" spans="1:8" ht="15" customHeight="1" x14ac:dyDescent="0.25">
      <c r="A2" s="804" t="s">
        <v>79</v>
      </c>
      <c r="B2" s="805"/>
      <c r="C2" s="805"/>
      <c r="D2" s="805"/>
      <c r="E2" s="805"/>
      <c r="F2" s="805"/>
      <c r="G2" s="805"/>
      <c r="H2" s="806"/>
    </row>
    <row r="3" spans="1:8" ht="46.7" customHeight="1" x14ac:dyDescent="0.25">
      <c r="A3" s="504" t="s">
        <v>493</v>
      </c>
      <c r="B3" s="505" t="s">
        <v>610</v>
      </c>
      <c r="C3" s="578" t="s">
        <v>611</v>
      </c>
      <c r="D3" s="505" t="s">
        <v>612</v>
      </c>
      <c r="E3" s="505" t="s">
        <v>7</v>
      </c>
      <c r="F3" s="505" t="s">
        <v>613</v>
      </c>
      <c r="G3" s="505" t="s">
        <v>614</v>
      </c>
      <c r="H3" s="506" t="s">
        <v>29</v>
      </c>
    </row>
    <row r="4" spans="1:8" ht="30.2" customHeight="1" x14ac:dyDescent="0.25">
      <c r="A4" s="213"/>
      <c r="B4" s="576" t="str">
        <f>IF($A4="","",(LOOKUP($A4,'Catchment Summary Table'!$A$4:$A$33,'Catchment Summary Table'!$B$4:$B$33)))</f>
        <v/>
      </c>
      <c r="C4" s="576" t="str">
        <f>IF($A4="","",(LOOKUP($A4,'Catchment Summary Table'!$A$4:$A$33,'Catchment Summary Table'!$C$4:$C$33)))</f>
        <v/>
      </c>
      <c r="D4" s="576" t="str">
        <f>IF($A4="","",(LOOKUP($A4,'Catchment Summary Table'!$A$4:$A$33,'Catchment Summary Table'!$D$4:$D$33)))</f>
        <v/>
      </c>
      <c r="E4" s="576" t="str">
        <f>IF($A4="","",(LOOKUP($A4,'Catchment Summary Table'!$A$4:$A$33,'Catchment Summary Table'!$E$4:$E$33)))</f>
        <v/>
      </c>
      <c r="F4" s="576" t="str">
        <f>IF($A4="","",(LOOKUP($A4,'Catchment Summary Table'!$A$4:$A$33,'Catchment Summary Table'!$F$4:$F$33)))</f>
        <v/>
      </c>
      <c r="G4" s="576" t="str">
        <f>IF(B4="","",IFERROR('Total WQv Calculation'!$B$4,""))</f>
        <v/>
      </c>
      <c r="H4" s="546" t="str">
        <f>IF($A4="","",(LOOKUP($A4,'Catchment Summary Table'!$A$4:$A$33,'Catchment Summary Table'!$G$4:$G$33)))</f>
        <v/>
      </c>
    </row>
    <row r="5" spans="1:8" x14ac:dyDescent="0.25">
      <c r="A5" s="800"/>
      <c r="B5" s="800"/>
      <c r="C5" s="800"/>
      <c r="D5" s="800"/>
      <c r="E5" s="800"/>
      <c r="F5" s="800"/>
      <c r="G5" s="800"/>
      <c r="H5" s="800"/>
    </row>
    <row r="6" spans="1:8" ht="15" customHeight="1" x14ac:dyDescent="0.25">
      <c r="A6" s="645" t="s">
        <v>90</v>
      </c>
      <c r="B6" s="645"/>
      <c r="C6" s="645"/>
      <c r="D6" s="645"/>
      <c r="E6" s="645"/>
      <c r="F6" s="645"/>
      <c r="G6" s="645"/>
      <c r="H6" s="645"/>
    </row>
    <row r="7" spans="1:8" ht="15" customHeight="1" x14ac:dyDescent="0.25">
      <c r="A7" s="723" t="s">
        <v>462</v>
      </c>
      <c r="B7" s="723"/>
      <c r="C7" s="723"/>
      <c r="D7" s="288" t="str">
        <f>IF(ISERROR(F4*7.5),"",(F4*7.5))</f>
        <v/>
      </c>
      <c r="E7" s="69" t="s">
        <v>199</v>
      </c>
      <c r="F7" s="814" t="s">
        <v>167</v>
      </c>
      <c r="G7" s="814"/>
      <c r="H7" s="814"/>
    </row>
    <row r="8" spans="1:8" s="125" customFormat="1" ht="15" customHeight="1" x14ac:dyDescent="0.25">
      <c r="A8" s="723" t="s">
        <v>526</v>
      </c>
      <c r="B8" s="723"/>
      <c r="C8" s="723"/>
      <c r="D8" s="205"/>
      <c r="E8" s="69"/>
      <c r="F8" s="807"/>
      <c r="G8" s="808"/>
      <c r="H8" s="809"/>
    </row>
    <row r="9" spans="1:8" s="125" customFormat="1" ht="15" customHeight="1" x14ac:dyDescent="0.25">
      <c r="A9" s="723" t="s">
        <v>527</v>
      </c>
      <c r="B9" s="723"/>
      <c r="C9" s="723"/>
      <c r="D9" s="358"/>
      <c r="E9" s="241" t="s">
        <v>199</v>
      </c>
      <c r="F9" s="810"/>
      <c r="G9" s="811"/>
      <c r="H9" s="812"/>
    </row>
    <row r="10" spans="1:8" ht="15" customHeight="1" x14ac:dyDescent="0.25">
      <c r="A10" s="723" t="s">
        <v>463</v>
      </c>
      <c r="B10" s="723"/>
      <c r="C10" s="723"/>
      <c r="D10" s="289" t="str">
        <f>IF(D8="","",IF(D9="","",D8*D9))</f>
        <v/>
      </c>
      <c r="E10" s="69" t="s">
        <v>199</v>
      </c>
      <c r="F10" s="815" t="str">
        <f>IF(D10="","",IF(D10&lt;D7,"Too Small"," "))</f>
        <v/>
      </c>
      <c r="G10" s="816"/>
      <c r="H10" s="817"/>
    </row>
    <row r="11" spans="1:8" s="59" customFormat="1" ht="15" customHeight="1" x14ac:dyDescent="0.25">
      <c r="A11" s="723" t="s">
        <v>472</v>
      </c>
      <c r="B11" s="723"/>
      <c r="C11" s="723"/>
      <c r="D11" s="95"/>
      <c r="E11" s="69"/>
      <c r="F11" s="818" t="str">
        <f>IF(D11="No","Cannot take this credit without a Water Use Plan to ensure system capacity is available"," ")</f>
        <v xml:space="preserve"> </v>
      </c>
      <c r="G11" s="819"/>
      <c r="H11" s="820"/>
    </row>
    <row r="12" spans="1:8" ht="15" customHeight="1" x14ac:dyDescent="0.25">
      <c r="A12" s="800"/>
      <c r="B12" s="800"/>
      <c r="C12" s="800"/>
      <c r="D12" s="800"/>
      <c r="E12" s="800"/>
      <c r="F12" s="800"/>
      <c r="G12" s="800"/>
      <c r="H12" s="800"/>
    </row>
    <row r="13" spans="1:8" ht="15" customHeight="1" x14ac:dyDescent="0.25">
      <c r="A13" s="645" t="s">
        <v>88</v>
      </c>
      <c r="B13" s="645"/>
      <c r="C13" s="645"/>
      <c r="D13" s="645"/>
      <c r="E13" s="645"/>
      <c r="F13" s="645"/>
      <c r="G13" s="645"/>
      <c r="H13" s="645"/>
    </row>
    <row r="14" spans="1:8" ht="15" customHeight="1" x14ac:dyDescent="0.25">
      <c r="A14" s="770" t="s">
        <v>32</v>
      </c>
      <c r="B14" s="770"/>
      <c r="C14" s="770"/>
      <c r="D14" s="175" t="str">
        <f>IF(ISERROR(IF(D7&gt;D10,"Error",D7/7.5)),"",IF(D7&gt;D10,"Error",D7/7.5))</f>
        <v/>
      </c>
      <c r="E14" s="179" t="s">
        <v>249</v>
      </c>
      <c r="F14" s="821"/>
      <c r="G14" s="822"/>
      <c r="H14" s="823"/>
    </row>
    <row r="21" s="164" customFormat="1" x14ac:dyDescent="0.25"/>
    <row r="22" s="164" customFormat="1" x14ac:dyDescent="0.25"/>
    <row r="23" s="164" customFormat="1" x14ac:dyDescent="0.25"/>
    <row r="24" s="164" customFormat="1" x14ac:dyDescent="0.25"/>
    <row r="25" s="164" customFormat="1" x14ac:dyDescent="0.25"/>
    <row r="32" ht="27.75" customHeight="1" x14ac:dyDescent="0.25"/>
    <row r="40" spans="1:8" s="164" customFormat="1" x14ac:dyDescent="0.25"/>
    <row r="44" spans="1:8" x14ac:dyDescent="0.25">
      <c r="A44" s="428" t="s">
        <v>600</v>
      </c>
      <c r="B44" s="426" t="str">
        <f>IF('Total WQv Calculation'!$B$3="","",'Total WQv Calculation'!$B$3)</f>
        <v/>
      </c>
    </row>
    <row r="45" spans="1:8" x14ac:dyDescent="0.25">
      <c r="A45" s="804" t="s">
        <v>79</v>
      </c>
      <c r="B45" s="805"/>
      <c r="C45" s="805"/>
      <c r="D45" s="805"/>
      <c r="E45" s="805"/>
      <c r="F45" s="805"/>
      <c r="G45" s="805"/>
      <c r="H45" s="806"/>
    </row>
    <row r="46" spans="1:8" ht="46.7" customHeight="1" x14ac:dyDescent="0.25">
      <c r="A46" s="504" t="s">
        <v>493</v>
      </c>
      <c r="B46" s="505" t="s">
        <v>610</v>
      </c>
      <c r="C46" s="578" t="s">
        <v>611</v>
      </c>
      <c r="D46" s="505" t="s">
        <v>612</v>
      </c>
      <c r="E46" s="505" t="s">
        <v>7</v>
      </c>
      <c r="F46" s="505" t="s">
        <v>613</v>
      </c>
      <c r="G46" s="505" t="s">
        <v>614</v>
      </c>
      <c r="H46" s="506" t="s">
        <v>29</v>
      </c>
    </row>
    <row r="47" spans="1:8" ht="30.2" customHeight="1" x14ac:dyDescent="0.25">
      <c r="A47" s="213"/>
      <c r="B47" s="576" t="str">
        <f>IF($A47="","",(LOOKUP($A47,'Catchment Summary Table'!$A$4:$A$33,'Catchment Summary Table'!$B$4:$B$33)))</f>
        <v/>
      </c>
      <c r="C47" s="576" t="str">
        <f>IF($A47="","",(LOOKUP($A47,'Catchment Summary Table'!$A$4:$A$33,'Catchment Summary Table'!$C$4:$C$33)))</f>
        <v/>
      </c>
      <c r="D47" s="576" t="str">
        <f>IF($A47="","",(LOOKUP($A47,'Catchment Summary Table'!$A$4:$A$33,'Catchment Summary Table'!$D$4:$D$33)))</f>
        <v/>
      </c>
      <c r="E47" s="576" t="str">
        <f>IF($A47="","",(LOOKUP($A47,'Catchment Summary Table'!$A$4:$A$33,'Catchment Summary Table'!$E$4:$E$33)))</f>
        <v/>
      </c>
      <c r="F47" s="576" t="str">
        <f>IF($A47="","",(LOOKUP($A47,'Catchment Summary Table'!$A$4:$A$33,'Catchment Summary Table'!$F$4:$F$33)))</f>
        <v/>
      </c>
      <c r="G47" s="576" t="str">
        <f>IF(B47="","",IFERROR('Total WQv Calculation'!$B$4,""))</f>
        <v/>
      </c>
      <c r="H47" s="546" t="str">
        <f>IF($A47="","",(LOOKUP($A47,'Catchment Summary Table'!$A$4:$A$33,'Catchment Summary Table'!$G$4:$G$33)))</f>
        <v/>
      </c>
    </row>
    <row r="48" spans="1:8" x14ac:dyDescent="0.25">
      <c r="A48" s="800"/>
      <c r="B48" s="800"/>
      <c r="C48" s="800"/>
      <c r="D48" s="800"/>
      <c r="E48" s="800"/>
      <c r="F48" s="800"/>
      <c r="G48" s="800"/>
      <c r="H48" s="800"/>
    </row>
    <row r="49" spans="1:8" s="199" customFormat="1" ht="15" customHeight="1" x14ac:dyDescent="0.25">
      <c r="A49" s="645" t="s">
        <v>90</v>
      </c>
      <c r="B49" s="645"/>
      <c r="C49" s="645"/>
      <c r="D49" s="645"/>
      <c r="E49" s="645"/>
      <c r="F49" s="645"/>
      <c r="G49" s="645"/>
      <c r="H49" s="645"/>
    </row>
    <row r="50" spans="1:8" hidden="1" x14ac:dyDescent="0.25">
      <c r="A50" s="110"/>
      <c r="B50" s="110"/>
      <c r="C50" s="110"/>
      <c r="D50" s="110"/>
      <c r="E50" s="110"/>
      <c r="F50" s="110"/>
      <c r="G50" s="110"/>
      <c r="H50" s="110"/>
    </row>
    <row r="51" spans="1:8" ht="30.2" customHeight="1" x14ac:dyDescent="0.25">
      <c r="A51" s="723" t="s">
        <v>462</v>
      </c>
      <c r="B51" s="723"/>
      <c r="C51" s="723"/>
      <c r="D51" s="288" t="str">
        <f>IF(ISERROR(F47*7.5),"",F47*7.5)</f>
        <v/>
      </c>
      <c r="E51" s="168" t="s">
        <v>199</v>
      </c>
      <c r="F51" s="830" t="s">
        <v>167</v>
      </c>
      <c r="G51" s="830"/>
      <c r="H51" s="830"/>
    </row>
    <row r="52" spans="1:8" s="125" customFormat="1" ht="30.2" customHeight="1" x14ac:dyDescent="0.25">
      <c r="A52" s="723" t="s">
        <v>526</v>
      </c>
      <c r="B52" s="723"/>
      <c r="C52" s="723"/>
      <c r="D52" s="205"/>
      <c r="E52" s="168"/>
      <c r="F52" s="807"/>
      <c r="G52" s="808"/>
      <c r="H52" s="809"/>
    </row>
    <row r="53" spans="1:8" s="125" customFormat="1" ht="30.2" customHeight="1" x14ac:dyDescent="0.25">
      <c r="A53" s="723" t="s">
        <v>527</v>
      </c>
      <c r="B53" s="723"/>
      <c r="C53" s="723"/>
      <c r="D53" s="358"/>
      <c r="E53" s="241" t="s">
        <v>199</v>
      </c>
      <c r="F53" s="810"/>
      <c r="G53" s="811"/>
      <c r="H53" s="812"/>
    </row>
    <row r="54" spans="1:8" ht="30.2" customHeight="1" x14ac:dyDescent="0.25">
      <c r="A54" s="723" t="s">
        <v>463</v>
      </c>
      <c r="B54" s="723"/>
      <c r="C54" s="723"/>
      <c r="D54" s="289" t="str">
        <f>IF(D52="","",IF(D53="","",D52*D53))</f>
        <v/>
      </c>
      <c r="E54" s="168" t="s">
        <v>199</v>
      </c>
      <c r="F54" s="815" t="str">
        <f>IF(D54&lt;D51,"Too Small"," ")</f>
        <v xml:space="preserve"> </v>
      </c>
      <c r="G54" s="816"/>
      <c r="H54" s="817"/>
    </row>
    <row r="55" spans="1:8" ht="30.2" customHeight="1" x14ac:dyDescent="0.25">
      <c r="A55" s="723" t="s">
        <v>472</v>
      </c>
      <c r="B55" s="723"/>
      <c r="C55" s="723"/>
      <c r="D55" s="97"/>
      <c r="E55" s="168"/>
      <c r="F55" s="818" t="str">
        <f>IF(D55="No","Cannot take this credit without a Water Use Plan to ensure system capacity is available"," ")</f>
        <v xml:space="preserve"> </v>
      </c>
      <c r="G55" s="819"/>
      <c r="H55" s="820"/>
    </row>
    <row r="56" spans="1:8" x14ac:dyDescent="0.25">
      <c r="A56" s="800"/>
      <c r="B56" s="800"/>
      <c r="C56" s="800"/>
      <c r="D56" s="800"/>
      <c r="E56" s="800"/>
      <c r="F56" s="800"/>
      <c r="G56" s="800"/>
      <c r="H56" s="800"/>
    </row>
    <row r="57" spans="1:8" x14ac:dyDescent="0.25">
      <c r="A57" s="825" t="s">
        <v>88</v>
      </c>
      <c r="B57" s="825"/>
      <c r="C57" s="825"/>
      <c r="D57" s="825"/>
      <c r="E57" s="825"/>
      <c r="F57" s="825"/>
      <c r="G57" s="825"/>
      <c r="H57" s="825"/>
    </row>
    <row r="58" spans="1:8" ht="30.2" customHeight="1" x14ac:dyDescent="0.25">
      <c r="A58" s="770" t="s">
        <v>32</v>
      </c>
      <c r="B58" s="770"/>
      <c r="C58" s="770"/>
      <c r="D58" s="175" t="str">
        <f>IF(ISERROR(IF(D51&gt;D54,"Error",D51/7.5)),"",IF(D51&gt;D54,"Error",D51/7.5))</f>
        <v/>
      </c>
      <c r="E58" s="179" t="s">
        <v>249</v>
      </c>
      <c r="F58" s="826"/>
      <c r="G58" s="827"/>
      <c r="H58" s="828"/>
    </row>
    <row r="82" spans="1:8" x14ac:dyDescent="0.25">
      <c r="A82" s="428" t="s">
        <v>600</v>
      </c>
      <c r="B82" s="426" t="str">
        <f>IF('Total WQv Calculation'!$B$3="","",'Total WQv Calculation'!$B$3)</f>
        <v/>
      </c>
    </row>
    <row r="83" spans="1:8" x14ac:dyDescent="0.25">
      <c r="A83" s="804" t="s">
        <v>79</v>
      </c>
      <c r="B83" s="805"/>
      <c r="C83" s="805"/>
      <c r="D83" s="805"/>
      <c r="E83" s="805"/>
      <c r="F83" s="805"/>
      <c r="G83" s="805"/>
      <c r="H83" s="806"/>
    </row>
    <row r="84" spans="1:8" ht="46.7" customHeight="1" x14ac:dyDescent="0.25">
      <c r="A84" s="504" t="s">
        <v>493</v>
      </c>
      <c r="B84" s="505" t="s">
        <v>610</v>
      </c>
      <c r="C84" s="578" t="s">
        <v>611</v>
      </c>
      <c r="D84" s="505" t="s">
        <v>612</v>
      </c>
      <c r="E84" s="505" t="s">
        <v>7</v>
      </c>
      <c r="F84" s="505" t="s">
        <v>613</v>
      </c>
      <c r="G84" s="505" t="s">
        <v>614</v>
      </c>
      <c r="H84" s="506" t="s">
        <v>29</v>
      </c>
    </row>
    <row r="85" spans="1:8" ht="30.2" customHeight="1" x14ac:dyDescent="0.25">
      <c r="A85" s="213"/>
      <c r="B85" s="576" t="str">
        <f>IF($A85="","",(LOOKUP($A85,'Catchment Summary Table'!$A$4:$A$33,'Catchment Summary Table'!$B$4:$B$33)))</f>
        <v/>
      </c>
      <c r="C85" s="576" t="str">
        <f>IF($A85="","",(LOOKUP($A85,'Catchment Summary Table'!$A$4:$A$33,'Catchment Summary Table'!$C$4:$C$33)))</f>
        <v/>
      </c>
      <c r="D85" s="576" t="str">
        <f>IF($A85="","",(LOOKUP($A85,'Catchment Summary Table'!$A$4:$A$33,'Catchment Summary Table'!$D$4:$D$33)))</f>
        <v/>
      </c>
      <c r="E85" s="576" t="str">
        <f>IF($A85="","",(LOOKUP($A85,'Catchment Summary Table'!$A$4:$A$33,'Catchment Summary Table'!$E$4:$E$33)))</f>
        <v/>
      </c>
      <c r="F85" s="576" t="str">
        <f>IF($A85="","",(LOOKUP($A85,'Catchment Summary Table'!$A$4:$A$33,'Catchment Summary Table'!$F$4:$F$33)))</f>
        <v/>
      </c>
      <c r="G85" s="576" t="str">
        <f>IF(B85="","",IFERROR('Total WQv Calculation'!$B$4,""))</f>
        <v/>
      </c>
      <c r="H85" s="546" t="str">
        <f>IF($A85="","",(LOOKUP($A85,'Catchment Summary Table'!$A$4:$A$33,'Catchment Summary Table'!$G$4:$G$33)))</f>
        <v/>
      </c>
    </row>
    <row r="86" spans="1:8" x14ac:dyDescent="0.25">
      <c r="A86" s="800"/>
      <c r="B86" s="800"/>
      <c r="C86" s="800"/>
      <c r="D86" s="800"/>
      <c r="E86" s="800"/>
      <c r="F86" s="800"/>
      <c r="G86" s="800"/>
      <c r="H86" s="800"/>
    </row>
    <row r="87" spans="1:8" x14ac:dyDescent="0.25">
      <c r="A87" s="645" t="s">
        <v>90</v>
      </c>
      <c r="B87" s="645"/>
      <c r="C87" s="645"/>
      <c r="D87" s="645"/>
      <c r="E87" s="645"/>
      <c r="F87" s="645"/>
      <c r="G87" s="645"/>
      <c r="H87" s="645"/>
    </row>
    <row r="88" spans="1:8" hidden="1" x14ac:dyDescent="0.25">
      <c r="A88" s="110"/>
      <c r="B88" s="110"/>
      <c r="C88" s="110"/>
      <c r="D88" s="110"/>
      <c r="E88" s="110"/>
      <c r="F88" s="110"/>
      <c r="G88" s="110"/>
      <c r="H88" s="110"/>
    </row>
    <row r="89" spans="1:8" ht="30.2" customHeight="1" x14ac:dyDescent="0.25">
      <c r="A89" s="723" t="s">
        <v>462</v>
      </c>
      <c r="B89" s="723"/>
      <c r="C89" s="723"/>
      <c r="D89" s="288" t="str">
        <f>IF(ISERROR(F85*7.5),"",F85*7.5)</f>
        <v/>
      </c>
      <c r="E89" s="168" t="s">
        <v>199</v>
      </c>
      <c r="F89" s="830" t="s">
        <v>167</v>
      </c>
      <c r="G89" s="830"/>
      <c r="H89" s="830"/>
    </row>
    <row r="90" spans="1:8" s="125" customFormat="1" ht="30.2" customHeight="1" x14ac:dyDescent="0.25">
      <c r="A90" s="723" t="s">
        <v>526</v>
      </c>
      <c r="B90" s="723"/>
      <c r="C90" s="723"/>
      <c r="D90" s="205"/>
      <c r="E90" s="168"/>
      <c r="F90" s="807"/>
      <c r="G90" s="808"/>
      <c r="H90" s="809"/>
    </row>
    <row r="91" spans="1:8" s="125" customFormat="1" ht="30.2" customHeight="1" x14ac:dyDescent="0.25">
      <c r="A91" s="723" t="s">
        <v>527</v>
      </c>
      <c r="B91" s="723"/>
      <c r="C91" s="723"/>
      <c r="D91" s="358"/>
      <c r="E91" s="241" t="s">
        <v>199</v>
      </c>
      <c r="F91" s="810"/>
      <c r="G91" s="811"/>
      <c r="H91" s="812"/>
    </row>
    <row r="92" spans="1:8" ht="30.2" customHeight="1" x14ac:dyDescent="0.25">
      <c r="A92" s="723" t="s">
        <v>463</v>
      </c>
      <c r="B92" s="723"/>
      <c r="C92" s="723"/>
      <c r="D92" s="289" t="str">
        <f>IF(D90="","",IF(D91="","",D90*D91))</f>
        <v/>
      </c>
      <c r="E92" s="168" t="s">
        <v>199</v>
      </c>
      <c r="F92" s="815" t="str">
        <f>IF(D92&lt;D89,"Too Small"," ")</f>
        <v xml:space="preserve"> </v>
      </c>
      <c r="G92" s="816"/>
      <c r="H92" s="817"/>
    </row>
    <row r="93" spans="1:8" ht="30.2" customHeight="1" x14ac:dyDescent="0.25">
      <c r="A93" s="723" t="s">
        <v>472</v>
      </c>
      <c r="B93" s="723"/>
      <c r="C93" s="723"/>
      <c r="D93" s="97"/>
      <c r="E93" s="168"/>
      <c r="F93" s="818" t="str">
        <f>IF(D93="No","Cannot take this credit without a Water Use Plan to ensure system capacity is available"," ")</f>
        <v xml:space="preserve"> </v>
      </c>
      <c r="G93" s="819"/>
      <c r="H93" s="820"/>
    </row>
    <row r="94" spans="1:8" x14ac:dyDescent="0.25">
      <c r="A94" s="800"/>
      <c r="B94" s="800"/>
      <c r="C94" s="800"/>
      <c r="D94" s="800"/>
      <c r="E94" s="800"/>
      <c r="F94" s="800"/>
      <c r="G94" s="800"/>
      <c r="H94" s="800"/>
    </row>
    <row r="95" spans="1:8" x14ac:dyDescent="0.25">
      <c r="A95" s="645" t="s">
        <v>88</v>
      </c>
      <c r="B95" s="645"/>
      <c r="C95" s="645"/>
      <c r="D95" s="645"/>
      <c r="E95" s="645"/>
      <c r="F95" s="645"/>
      <c r="G95" s="645"/>
      <c r="H95" s="645"/>
    </row>
    <row r="96" spans="1:8" ht="30.2" customHeight="1" x14ac:dyDescent="0.25">
      <c r="A96" s="824" t="s">
        <v>32</v>
      </c>
      <c r="B96" s="824"/>
      <c r="C96" s="824"/>
      <c r="D96" s="198" t="str">
        <f>IF(ISERROR(IF(D89&gt;D92,"Error",D89/7.5)),"",IF(D89&gt;D92,"Error",D89/7.5))</f>
        <v/>
      </c>
      <c r="E96" s="166" t="s">
        <v>207</v>
      </c>
      <c r="F96" s="821"/>
      <c r="G96" s="822"/>
      <c r="H96" s="823"/>
    </row>
    <row r="120" spans="1:8" x14ac:dyDescent="0.25">
      <c r="A120" s="428" t="s">
        <v>600</v>
      </c>
      <c r="B120" s="426" t="str">
        <f>IF('Total WQv Calculation'!$B$3="","",'Total WQv Calculation'!$B$3)</f>
        <v/>
      </c>
    </row>
    <row r="121" spans="1:8" x14ac:dyDescent="0.25">
      <c r="A121" s="804" t="s">
        <v>79</v>
      </c>
      <c r="B121" s="805"/>
      <c r="C121" s="805"/>
      <c r="D121" s="805"/>
      <c r="E121" s="805"/>
      <c r="F121" s="805"/>
      <c r="G121" s="805"/>
      <c r="H121" s="806"/>
    </row>
    <row r="122" spans="1:8" s="146" customFormat="1" ht="46.7" customHeight="1" x14ac:dyDescent="0.25">
      <c r="A122" s="504" t="s">
        <v>493</v>
      </c>
      <c r="B122" s="505" t="s">
        <v>610</v>
      </c>
      <c r="C122" s="578" t="s">
        <v>611</v>
      </c>
      <c r="D122" s="505" t="s">
        <v>612</v>
      </c>
      <c r="E122" s="505" t="s">
        <v>7</v>
      </c>
      <c r="F122" s="505" t="s">
        <v>613</v>
      </c>
      <c r="G122" s="505" t="s">
        <v>614</v>
      </c>
      <c r="H122" s="506" t="s">
        <v>29</v>
      </c>
    </row>
    <row r="123" spans="1:8" ht="30.2" customHeight="1" x14ac:dyDescent="0.25">
      <c r="A123" s="213"/>
      <c r="B123" s="576" t="str">
        <f>IF($A123="","",(LOOKUP($A123,'Catchment Summary Table'!$A$4:$A$33,'Catchment Summary Table'!$B$4:$B$33)))</f>
        <v/>
      </c>
      <c r="C123" s="576" t="str">
        <f>IF($A123="","",(LOOKUP($A123,'Catchment Summary Table'!$A$4:$A$33,'Catchment Summary Table'!$C$4:$C$33)))</f>
        <v/>
      </c>
      <c r="D123" s="576" t="str">
        <f>IF($A123="","",(LOOKUP($A123,'Catchment Summary Table'!$A$4:$A$33,'Catchment Summary Table'!$D$4:$D$33)))</f>
        <v/>
      </c>
      <c r="E123" s="576" t="str">
        <f>IF($A123="","",(LOOKUP($A123,'Catchment Summary Table'!$A$4:$A$33,'Catchment Summary Table'!$E$4:$E$33)))</f>
        <v/>
      </c>
      <c r="F123" s="576" t="str">
        <f>IF($A123="","",(LOOKUP($A123,'Catchment Summary Table'!$A$4:$A$33,'Catchment Summary Table'!$F$4:$F$33)))</f>
        <v/>
      </c>
      <c r="G123" s="576" t="str">
        <f>IF(B123="","",IFERROR('Total WQv Calculation'!$B$4,""))</f>
        <v/>
      </c>
      <c r="H123" s="546" t="str">
        <f>IF($A123="","",(LOOKUP($A123,'Catchment Summary Table'!$A$4:$A$33,'Catchment Summary Table'!$G$4:$G$33)))</f>
        <v/>
      </c>
    </row>
    <row r="124" spans="1:8" x14ac:dyDescent="0.25">
      <c r="A124" s="800"/>
      <c r="B124" s="800"/>
      <c r="C124" s="800"/>
      <c r="D124" s="800"/>
      <c r="E124" s="800"/>
      <c r="F124" s="800"/>
      <c r="G124" s="800"/>
      <c r="H124" s="800"/>
    </row>
    <row r="125" spans="1:8" x14ac:dyDescent="0.25">
      <c r="A125" s="645" t="s">
        <v>90</v>
      </c>
      <c r="B125" s="645"/>
      <c r="C125" s="645"/>
      <c r="D125" s="645"/>
      <c r="E125" s="645"/>
      <c r="F125" s="645"/>
      <c r="G125" s="645"/>
      <c r="H125" s="645"/>
    </row>
    <row r="126" spans="1:8" hidden="1" x14ac:dyDescent="0.25">
      <c r="A126" s="110"/>
      <c r="B126" s="110"/>
      <c r="C126" s="110"/>
      <c r="D126" s="110"/>
      <c r="E126" s="110"/>
      <c r="F126" s="110"/>
      <c r="G126" s="110"/>
      <c r="H126" s="110"/>
    </row>
    <row r="127" spans="1:8" ht="30.2" customHeight="1" x14ac:dyDescent="0.25">
      <c r="A127" s="723" t="s">
        <v>462</v>
      </c>
      <c r="B127" s="723"/>
      <c r="C127" s="723"/>
      <c r="D127" s="370" t="str">
        <f>IF(ISERROR(F123*7.5),"",F123*7.5)</f>
        <v/>
      </c>
      <c r="E127" s="163" t="s">
        <v>199</v>
      </c>
      <c r="F127" s="814" t="s">
        <v>167</v>
      </c>
      <c r="G127" s="814"/>
      <c r="H127" s="814"/>
    </row>
    <row r="128" spans="1:8" s="125" customFormat="1" ht="30.2" customHeight="1" x14ac:dyDescent="0.25">
      <c r="A128" s="723" t="s">
        <v>526</v>
      </c>
      <c r="B128" s="723"/>
      <c r="C128" s="723"/>
      <c r="D128" s="103"/>
      <c r="E128" s="163"/>
      <c r="F128" s="807"/>
      <c r="G128" s="808"/>
      <c r="H128" s="809"/>
    </row>
    <row r="129" spans="1:8" s="125" customFormat="1" ht="30.2" customHeight="1" x14ac:dyDescent="0.25">
      <c r="A129" s="723" t="s">
        <v>527</v>
      </c>
      <c r="B129" s="723"/>
      <c r="C129" s="723"/>
      <c r="D129" s="283"/>
      <c r="E129" s="241" t="s">
        <v>199</v>
      </c>
      <c r="F129" s="810"/>
      <c r="G129" s="811"/>
      <c r="H129" s="812"/>
    </row>
    <row r="130" spans="1:8" ht="30.2" customHeight="1" x14ac:dyDescent="0.25">
      <c r="A130" s="723" t="s">
        <v>463</v>
      </c>
      <c r="B130" s="723"/>
      <c r="C130" s="723"/>
      <c r="D130" s="261" t="str">
        <f>IF(D128="","",IF(D129="","",D128*D129))</f>
        <v/>
      </c>
      <c r="E130" s="163" t="s">
        <v>199</v>
      </c>
      <c r="F130" s="815" t="str">
        <f>IF(D130&lt;D127,"Too Small"," ")</f>
        <v xml:space="preserve"> </v>
      </c>
      <c r="G130" s="816"/>
      <c r="H130" s="817"/>
    </row>
    <row r="131" spans="1:8" ht="30.2" customHeight="1" x14ac:dyDescent="0.25">
      <c r="A131" s="723" t="s">
        <v>472</v>
      </c>
      <c r="B131" s="723"/>
      <c r="C131" s="723"/>
      <c r="D131" s="97"/>
      <c r="E131" s="163"/>
      <c r="F131" s="818" t="str">
        <f>IF(D131="No","Cannot take this credit without a Water Use Plan to ensure system capacity is available"," ")</f>
        <v xml:space="preserve"> </v>
      </c>
      <c r="G131" s="819"/>
      <c r="H131" s="820"/>
    </row>
    <row r="132" spans="1:8" x14ac:dyDescent="0.25">
      <c r="A132" s="800"/>
      <c r="B132" s="800"/>
      <c r="C132" s="800"/>
      <c r="D132" s="800"/>
      <c r="E132" s="800"/>
      <c r="F132" s="800"/>
      <c r="G132" s="800"/>
      <c r="H132" s="800"/>
    </row>
    <row r="133" spans="1:8" x14ac:dyDescent="0.25">
      <c r="A133" s="645" t="s">
        <v>88</v>
      </c>
      <c r="B133" s="645"/>
      <c r="C133" s="645"/>
      <c r="D133" s="645"/>
      <c r="E133" s="645"/>
      <c r="F133" s="645"/>
      <c r="G133" s="645"/>
      <c r="H133" s="645"/>
    </row>
    <row r="134" spans="1:8" ht="30.2" customHeight="1" x14ac:dyDescent="0.25">
      <c r="A134" s="770" t="s">
        <v>32</v>
      </c>
      <c r="B134" s="770"/>
      <c r="C134" s="770"/>
      <c r="D134" s="175" t="str">
        <f>IF(ISERROR(IF(D127&gt;D130,"Error",D127/7.5)),"",IF(D127&gt;D130,"Error",D127/7.5))</f>
        <v/>
      </c>
      <c r="E134" s="179" t="s">
        <v>249</v>
      </c>
      <c r="F134" s="813"/>
      <c r="G134" s="813"/>
      <c r="H134" s="813"/>
    </row>
    <row r="158" spans="1:3" ht="15" customHeight="1" x14ac:dyDescent="0.25">
      <c r="A158" s="829" t="s">
        <v>517</v>
      </c>
      <c r="B158" s="829"/>
      <c r="C158" s="311">
        <f>SUM(D14,D58,D96,D134)</f>
        <v>0</v>
      </c>
    </row>
    <row r="159" spans="1:3" ht="15" customHeight="1" x14ac:dyDescent="0.25">
      <c r="A159" s="829" t="s">
        <v>5</v>
      </c>
      <c r="B159" s="829"/>
      <c r="C159" s="311">
        <f>SUM(B4,B47,B85,B123)</f>
        <v>0</v>
      </c>
    </row>
    <row r="160" spans="1:3" ht="15" customHeight="1" x14ac:dyDescent="0.25">
      <c r="A160" s="829" t="s">
        <v>521</v>
      </c>
      <c r="B160" s="829"/>
      <c r="C160" s="311">
        <f>SUM(C4,C47,C85,C123)</f>
        <v>0</v>
      </c>
    </row>
  </sheetData>
  <sheetProtection password="C7D7" sheet="1" objects="1" scenarios="1" formatColumns="0" formatRows="0"/>
  <mergeCells count="71">
    <mergeCell ref="A158:B158"/>
    <mergeCell ref="A159:B159"/>
    <mergeCell ref="A160:B160"/>
    <mergeCell ref="A45:H45"/>
    <mergeCell ref="A48:H48"/>
    <mergeCell ref="A49:H49"/>
    <mergeCell ref="A51:C51"/>
    <mergeCell ref="F51:H51"/>
    <mergeCell ref="A128:C128"/>
    <mergeCell ref="A54:C54"/>
    <mergeCell ref="A58:C58"/>
    <mergeCell ref="A83:H83"/>
    <mergeCell ref="A86:H86"/>
    <mergeCell ref="A87:H87"/>
    <mergeCell ref="A89:C89"/>
    <mergeCell ref="F89:H89"/>
    <mergeCell ref="A2:H2"/>
    <mergeCell ref="A13:H13"/>
    <mergeCell ref="A6:H6"/>
    <mergeCell ref="A5:H5"/>
    <mergeCell ref="A12:H12"/>
    <mergeCell ref="A7:C7"/>
    <mergeCell ref="A10:C10"/>
    <mergeCell ref="F7:H7"/>
    <mergeCell ref="F10:H10"/>
    <mergeCell ref="A8:C8"/>
    <mergeCell ref="A9:C9"/>
    <mergeCell ref="F9:H9"/>
    <mergeCell ref="F8:H8"/>
    <mergeCell ref="A11:C11"/>
    <mergeCell ref="F11:H11"/>
    <mergeCell ref="A52:C52"/>
    <mergeCell ref="A53:C53"/>
    <mergeCell ref="A14:C14"/>
    <mergeCell ref="F91:H91"/>
    <mergeCell ref="F55:H55"/>
    <mergeCell ref="F14:H14"/>
    <mergeCell ref="A90:C90"/>
    <mergeCell ref="F52:H52"/>
    <mergeCell ref="F53:H53"/>
    <mergeCell ref="A56:H56"/>
    <mergeCell ref="A57:H57"/>
    <mergeCell ref="F54:H54"/>
    <mergeCell ref="A55:C55"/>
    <mergeCell ref="F58:H58"/>
    <mergeCell ref="F90:H90"/>
    <mergeCell ref="F96:H96"/>
    <mergeCell ref="A94:H94"/>
    <mergeCell ref="A95:H95"/>
    <mergeCell ref="A96:C96"/>
    <mergeCell ref="A91:C91"/>
    <mergeCell ref="A92:C92"/>
    <mergeCell ref="F92:H92"/>
    <mergeCell ref="A93:C93"/>
    <mergeCell ref="F93:H93"/>
    <mergeCell ref="A121:H121"/>
    <mergeCell ref="A124:H124"/>
    <mergeCell ref="F128:H128"/>
    <mergeCell ref="F129:H129"/>
    <mergeCell ref="F134:H134"/>
    <mergeCell ref="A125:H125"/>
    <mergeCell ref="A127:C127"/>
    <mergeCell ref="F127:H127"/>
    <mergeCell ref="A130:C130"/>
    <mergeCell ref="F130:H130"/>
    <mergeCell ref="A129:C129"/>
    <mergeCell ref="A131:C131"/>
    <mergeCell ref="F131:H131"/>
    <mergeCell ref="A132:H132"/>
    <mergeCell ref="A133:H133"/>
    <mergeCell ref="A134:C134"/>
  </mergeCells>
  <dataValidations count="2">
    <dataValidation type="list" showInputMessage="1" showErrorMessage="1" promptTitle="Choose Area" sqref="A123 A47 A4 A85">
      <formula1>CatchNo</formula1>
    </dataValidation>
    <dataValidation type="list" showInputMessage="1" showErrorMessage="1" promptTitle="Yes or No?" sqref="D131 D55 D11 D93">
      <formula1>YesNo</formula1>
    </dataValidation>
  </dataValidations>
  <pageMargins left="0.7" right="0.7" top="0.75" bottom="0.75" header="0.3" footer="0.3"/>
  <pageSetup orientation="portrait" r:id="rId1"/>
  <headerFooter>
    <oddHeader>&amp;C&amp;18Cistern or Rainbarrel Worksheet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149"/>
  <sheetViews>
    <sheetView view="pageLayout" zoomScaleNormal="100" workbookViewId="0">
      <selection activeCell="A4" sqref="A4"/>
    </sheetView>
  </sheetViews>
  <sheetFormatPr defaultColWidth="9.140625" defaultRowHeight="15" x14ac:dyDescent="0.25"/>
  <cols>
    <col min="1" max="1" width="12.7109375" style="529" customWidth="1"/>
    <col min="2" max="2" width="10.5703125" style="529" customWidth="1"/>
    <col min="3" max="4" width="10.7109375" style="529" customWidth="1"/>
    <col min="5" max="6" width="7.5703125" style="529" customWidth="1"/>
    <col min="7" max="7" width="12.140625" style="529" customWidth="1"/>
    <col min="8" max="8" width="17.85546875" style="529" customWidth="1"/>
    <col min="9" max="9" width="30.42578125" style="529" bestFit="1" customWidth="1"/>
    <col min="10" max="16384" width="9.140625" style="529"/>
  </cols>
  <sheetData>
    <row r="1" spans="1:14" ht="15" customHeight="1" x14ac:dyDescent="0.25">
      <c r="A1" s="561" t="s">
        <v>600</v>
      </c>
      <c r="B1" s="562" t="str">
        <f>IF('Total WQv Calculation'!$B$3="","",'Total WQv Calculation'!$B$3)</f>
        <v/>
      </c>
    </row>
    <row r="2" spans="1:14" x14ac:dyDescent="0.25">
      <c r="A2" s="838" t="s">
        <v>79</v>
      </c>
      <c r="B2" s="838"/>
      <c r="C2" s="838"/>
      <c r="D2" s="838"/>
      <c r="E2" s="838"/>
      <c r="F2" s="838"/>
      <c r="G2" s="838"/>
      <c r="H2" s="838"/>
    </row>
    <row r="3" spans="1:14" ht="46.7" customHeight="1" x14ac:dyDescent="0.25">
      <c r="A3" s="504" t="s">
        <v>493</v>
      </c>
      <c r="B3" s="505" t="s">
        <v>610</v>
      </c>
      <c r="C3" s="578" t="s">
        <v>611</v>
      </c>
      <c r="D3" s="505" t="s">
        <v>612</v>
      </c>
      <c r="E3" s="505" t="s">
        <v>7</v>
      </c>
      <c r="F3" s="505" t="s">
        <v>613</v>
      </c>
      <c r="G3" s="505" t="s">
        <v>614</v>
      </c>
      <c r="H3" s="506" t="s">
        <v>29</v>
      </c>
    </row>
    <row r="4" spans="1:14" ht="30.75" customHeight="1" x14ac:dyDescent="0.25">
      <c r="A4" s="213"/>
      <c r="B4" s="576" t="str">
        <f>IF($A4="","",(LOOKUP($A4,'Catchment Summary Table'!$A$4:$A$33,'Catchment Summary Table'!$B$4:$B$33)))</f>
        <v/>
      </c>
      <c r="C4" s="576" t="str">
        <f>IF($A4="","",(LOOKUP($A4,'Catchment Summary Table'!$A$4:$A$33,'Catchment Summary Table'!$C$4:$C$33)))</f>
        <v/>
      </c>
      <c r="D4" s="576" t="str">
        <f>IF($A4="","",(LOOKUP($A4,'Catchment Summary Table'!$A$4:$A$33,'Catchment Summary Table'!$D$4:$D$33)))</f>
        <v/>
      </c>
      <c r="E4" s="576" t="str">
        <f>IF($A4="","",(LOOKUP($A4,'Catchment Summary Table'!$A$4:$A$33,'Catchment Summary Table'!$E$4:$E$33)))</f>
        <v/>
      </c>
      <c r="F4" s="576" t="str">
        <f>IF($A4="","",(LOOKUP($A4,'Catchment Summary Table'!$A$4:$A$33,'Catchment Summary Table'!$F$4:$F$33)))</f>
        <v/>
      </c>
      <c r="G4" s="576" t="str">
        <f>IF(B4="","",IFERROR('Total WQv Calculation'!$B$4,""))</f>
        <v/>
      </c>
      <c r="H4" s="546" t="str">
        <f>IF($A4="","",(LOOKUP($A4,'Catchment Summary Table'!$A$4:$A$33,'Catchment Summary Table'!$G$4:$G$33)))</f>
        <v/>
      </c>
    </row>
    <row r="5" spans="1:14" x14ac:dyDescent="0.25">
      <c r="A5" s="839" t="str">
        <f>IF(B4&lt;10000/43560,"Does Not Meet Conservation Area Criteria"," ")</f>
        <v xml:space="preserve"> </v>
      </c>
      <c r="B5" s="839"/>
      <c r="C5" s="839"/>
      <c r="D5" s="839"/>
      <c r="E5" s="839"/>
      <c r="F5" s="839"/>
      <c r="G5" s="839"/>
      <c r="H5" s="839"/>
    </row>
    <row r="6" spans="1:14" x14ac:dyDescent="0.25">
      <c r="A6" s="840" t="s">
        <v>63</v>
      </c>
      <c r="B6" s="840"/>
      <c r="C6" s="840"/>
      <c r="D6" s="840"/>
      <c r="E6" s="840"/>
      <c r="F6" s="840"/>
      <c r="G6" s="840"/>
      <c r="H6" s="840"/>
    </row>
    <row r="7" spans="1:14" s="563" customFormat="1" hidden="1" x14ac:dyDescent="0.25">
      <c r="A7" s="840"/>
      <c r="B7" s="840"/>
      <c r="C7" s="840"/>
      <c r="D7" s="840"/>
      <c r="E7" s="840"/>
      <c r="F7" s="840"/>
      <c r="G7" s="840"/>
      <c r="H7" s="840"/>
    </row>
    <row r="8" spans="1:14" hidden="1" x14ac:dyDescent="0.25">
      <c r="A8" s="237"/>
      <c r="B8" s="156"/>
      <c r="C8" s="528"/>
      <c r="D8" s="841"/>
      <c r="E8" s="842"/>
      <c r="F8" s="842"/>
      <c r="G8" s="842"/>
      <c r="H8" s="843"/>
    </row>
    <row r="9" spans="1:14" ht="30.2" customHeight="1" x14ac:dyDescent="0.25">
      <c r="A9" s="677" t="s">
        <v>325</v>
      </c>
      <c r="B9" s="845"/>
      <c r="C9" s="845"/>
      <c r="D9" s="845"/>
      <c r="E9" s="845"/>
      <c r="F9" s="678"/>
      <c r="G9" s="95"/>
      <c r="H9" s="330" t="str">
        <f>IF(G9="No","Cannot use this practice"," ")</f>
        <v xml:space="preserve"> </v>
      </c>
    </row>
    <row r="10" spans="1:14" ht="30.2" customHeight="1" x14ac:dyDescent="0.25">
      <c r="A10" s="844" t="s">
        <v>336</v>
      </c>
      <c r="B10" s="844"/>
      <c r="C10" s="844"/>
      <c r="D10" s="844"/>
      <c r="E10" s="844"/>
      <c r="F10" s="844"/>
      <c r="G10" s="95"/>
      <c r="H10" s="527"/>
    </row>
    <row r="11" spans="1:14" ht="30.2" customHeight="1" x14ac:dyDescent="0.25">
      <c r="A11" s="844" t="s">
        <v>326</v>
      </c>
      <c r="B11" s="844"/>
      <c r="C11" s="844"/>
      <c r="D11" s="844"/>
      <c r="E11" s="844"/>
      <c r="F11" s="844"/>
      <c r="G11" s="95"/>
      <c r="H11" s="527"/>
    </row>
    <row r="12" spans="1:14" ht="30.2" customHeight="1" x14ac:dyDescent="0.25">
      <c r="A12" s="844" t="s">
        <v>328</v>
      </c>
      <c r="B12" s="844"/>
      <c r="C12" s="844"/>
      <c r="D12" s="844"/>
      <c r="E12" s="844"/>
      <c r="F12" s="844"/>
      <c r="G12" s="95"/>
      <c r="H12" s="527"/>
    </row>
    <row r="13" spans="1:14" ht="30.2" customHeight="1" x14ac:dyDescent="0.25">
      <c r="A13" s="844" t="s">
        <v>327</v>
      </c>
      <c r="B13" s="844"/>
      <c r="C13" s="844"/>
      <c r="D13" s="844"/>
      <c r="E13" s="844"/>
      <c r="F13" s="844"/>
      <c r="G13" s="95"/>
      <c r="H13" s="527" t="str">
        <f>IF( G13="Yes","Design as Buffer"," ")</f>
        <v xml:space="preserve"> </v>
      </c>
      <c r="J13" s="835"/>
      <c r="K13" s="835"/>
      <c r="L13" s="835"/>
      <c r="M13" s="835"/>
      <c r="N13" s="835"/>
    </row>
    <row r="14" spans="1:14" ht="30.2" customHeight="1" x14ac:dyDescent="0.25">
      <c r="A14" s="844" t="s">
        <v>334</v>
      </c>
      <c r="B14" s="844"/>
      <c r="C14" s="844"/>
      <c r="D14" s="844"/>
      <c r="E14" s="844"/>
      <c r="F14" s="844"/>
      <c r="G14" s="95"/>
      <c r="H14" s="527"/>
    </row>
    <row r="15" spans="1:14" ht="30.2" customHeight="1" x14ac:dyDescent="0.25">
      <c r="A15" s="844" t="s">
        <v>335</v>
      </c>
      <c r="B15" s="844"/>
      <c r="C15" s="844"/>
      <c r="D15" s="844"/>
      <c r="E15" s="844"/>
      <c r="F15" s="844"/>
      <c r="G15" s="95"/>
      <c r="H15" s="331" t="str">
        <f>IF(G15= "Yes", "Cannot use this technique"," ")</f>
        <v xml:space="preserve"> </v>
      </c>
    </row>
    <row r="16" spans="1:14" x14ac:dyDescent="0.25">
      <c r="A16" s="836"/>
      <c r="B16" s="837"/>
      <c r="C16" s="837"/>
      <c r="D16" s="837"/>
      <c r="E16" s="837"/>
      <c r="F16" s="837"/>
      <c r="G16" s="837"/>
      <c r="H16" s="527"/>
    </row>
    <row r="17" spans="1:8" x14ac:dyDescent="0.25">
      <c r="A17" s="832"/>
      <c r="B17" s="695"/>
      <c r="C17" s="695"/>
      <c r="D17" s="695"/>
      <c r="E17" s="695"/>
      <c r="F17" s="695"/>
      <c r="G17" s="695"/>
      <c r="H17" s="833"/>
    </row>
    <row r="18" spans="1:8" x14ac:dyDescent="0.25">
      <c r="A18" s="834" t="s">
        <v>536</v>
      </c>
      <c r="B18" s="834"/>
      <c r="C18" s="704"/>
      <c r="D18" s="218"/>
      <c r="H18" s="332"/>
    </row>
    <row r="19" spans="1:8" ht="15" customHeight="1" x14ac:dyDescent="0.25">
      <c r="A19" s="730" t="s">
        <v>374</v>
      </c>
      <c r="B19" s="731"/>
      <c r="C19" s="731"/>
      <c r="D19" s="731"/>
      <c r="E19" s="731"/>
      <c r="F19" s="731"/>
      <c r="G19" s="731"/>
      <c r="H19" s="732"/>
    </row>
    <row r="20" spans="1:8" ht="30.2" customHeight="1" x14ac:dyDescent="0.25">
      <c r="A20" s="831" t="s">
        <v>377</v>
      </c>
      <c r="B20" s="831"/>
      <c r="C20" s="290">
        <f>IF(D18="Yes",B4,0)</f>
        <v>0</v>
      </c>
      <c r="D20" s="771" t="s">
        <v>564</v>
      </c>
      <c r="E20" s="771"/>
      <c r="F20" s="771"/>
      <c r="G20" s="771"/>
      <c r="H20" s="771"/>
    </row>
    <row r="21" spans="1:8" ht="30.2" customHeight="1" x14ac:dyDescent="0.25">
      <c r="A21" s="831" t="s">
        <v>377</v>
      </c>
      <c r="B21" s="831"/>
      <c r="C21" s="290">
        <f>IF(D18="Yes",C4,0)</f>
        <v>0</v>
      </c>
      <c r="D21" s="771" t="s">
        <v>565</v>
      </c>
      <c r="E21" s="771"/>
      <c r="F21" s="771"/>
      <c r="G21" s="771"/>
      <c r="H21" s="771"/>
    </row>
    <row r="22" spans="1:8" x14ac:dyDescent="0.25">
      <c r="A22" s="501"/>
      <c r="B22" s="501"/>
      <c r="C22" s="501"/>
      <c r="D22" s="501"/>
      <c r="E22" s="501"/>
      <c r="F22" s="501"/>
      <c r="G22" s="501"/>
      <c r="H22" s="501"/>
    </row>
    <row r="23" spans="1:8" x14ac:dyDescent="0.25">
      <c r="A23" s="501"/>
      <c r="B23" s="501"/>
      <c r="C23" s="501"/>
      <c r="D23" s="501"/>
      <c r="E23" s="501"/>
      <c r="F23" s="501"/>
      <c r="G23" s="501"/>
      <c r="H23" s="501"/>
    </row>
    <row r="24" spans="1:8" x14ac:dyDescent="0.25">
      <c r="A24" s="501"/>
      <c r="B24" s="501"/>
      <c r="C24" s="501"/>
      <c r="D24" s="501"/>
      <c r="E24" s="501"/>
      <c r="F24" s="501"/>
      <c r="G24" s="501"/>
      <c r="H24" s="501"/>
    </row>
    <row r="25" spans="1:8" x14ac:dyDescent="0.25">
      <c r="A25" s="501"/>
      <c r="B25" s="501"/>
      <c r="C25" s="501"/>
      <c r="D25" s="501"/>
      <c r="E25" s="501"/>
      <c r="F25" s="501"/>
      <c r="G25" s="501"/>
      <c r="H25" s="501"/>
    </row>
    <row r="26" spans="1:8" x14ac:dyDescent="0.25">
      <c r="A26" s="501"/>
      <c r="B26" s="501"/>
      <c r="C26" s="501"/>
      <c r="D26" s="501"/>
      <c r="E26" s="501"/>
      <c r="F26" s="501"/>
      <c r="G26" s="501"/>
      <c r="H26" s="501"/>
    </row>
    <row r="27" spans="1:8" x14ac:dyDescent="0.25">
      <c r="A27" s="501"/>
      <c r="B27" s="501"/>
      <c r="C27" s="501"/>
      <c r="D27" s="501"/>
      <c r="E27" s="501"/>
      <c r="F27" s="501"/>
      <c r="G27" s="501"/>
      <c r="H27" s="501"/>
    </row>
    <row r="28" spans="1:8" x14ac:dyDescent="0.25">
      <c r="A28" s="501"/>
      <c r="B28" s="501"/>
      <c r="C28" s="501"/>
      <c r="D28" s="501"/>
      <c r="E28" s="501"/>
      <c r="F28" s="501"/>
      <c r="G28" s="501"/>
      <c r="H28" s="501"/>
    </row>
    <row r="29" spans="1:8" x14ac:dyDescent="0.25">
      <c r="A29" s="501"/>
      <c r="B29" s="501"/>
      <c r="C29" s="501"/>
      <c r="D29" s="501"/>
      <c r="E29" s="501"/>
      <c r="F29" s="501"/>
      <c r="G29" s="501"/>
      <c r="H29" s="501"/>
    </row>
    <row r="30" spans="1:8" x14ac:dyDescent="0.25">
      <c r="A30" s="501"/>
      <c r="B30" s="501"/>
      <c r="C30" s="501"/>
      <c r="D30" s="501"/>
      <c r="E30" s="501"/>
      <c r="F30" s="501"/>
      <c r="G30" s="501"/>
      <c r="H30" s="501"/>
    </row>
    <row r="31" spans="1:8" x14ac:dyDescent="0.25">
      <c r="A31" s="501"/>
      <c r="B31" s="501"/>
      <c r="C31" s="501"/>
      <c r="D31" s="501"/>
      <c r="E31" s="501"/>
      <c r="F31" s="501"/>
      <c r="G31" s="501"/>
      <c r="H31" s="501"/>
    </row>
    <row r="32" spans="1:8" x14ac:dyDescent="0.25">
      <c r="A32" s="501"/>
      <c r="B32" s="501"/>
      <c r="C32" s="501"/>
      <c r="D32" s="501"/>
      <c r="E32" s="501"/>
      <c r="F32" s="501"/>
      <c r="G32" s="501"/>
      <c r="H32" s="501"/>
    </row>
    <row r="33" spans="1:8" x14ac:dyDescent="0.25">
      <c r="A33" s="501"/>
      <c r="B33" s="501"/>
      <c r="C33" s="501"/>
      <c r="D33" s="501"/>
      <c r="E33" s="501"/>
      <c r="F33" s="501"/>
      <c r="G33" s="501"/>
      <c r="H33" s="501"/>
    </row>
    <row r="34" spans="1:8" x14ac:dyDescent="0.25">
      <c r="A34" s="501"/>
      <c r="B34" s="501"/>
      <c r="C34" s="501"/>
      <c r="D34" s="501"/>
      <c r="E34" s="501"/>
      <c r="F34" s="501"/>
      <c r="G34" s="501"/>
      <c r="H34" s="501"/>
    </row>
    <row r="35" spans="1:8" x14ac:dyDescent="0.25">
      <c r="A35" s="501"/>
      <c r="B35" s="501"/>
      <c r="C35" s="501"/>
      <c r="D35" s="501"/>
      <c r="E35" s="501"/>
      <c r="F35" s="501"/>
      <c r="G35" s="501"/>
      <c r="H35" s="501"/>
    </row>
    <row r="37" spans="1:8" x14ac:dyDescent="0.25">
      <c r="A37" s="561" t="s">
        <v>600</v>
      </c>
      <c r="B37" s="562" t="str">
        <f>IF('Total WQv Calculation'!$B$3="","",'Total WQv Calculation'!$B$3)</f>
        <v/>
      </c>
    </row>
    <row r="38" spans="1:8" x14ac:dyDescent="0.25">
      <c r="A38" s="838" t="s">
        <v>79</v>
      </c>
      <c r="B38" s="838"/>
      <c r="C38" s="838"/>
      <c r="D38" s="838"/>
      <c r="E38" s="838"/>
      <c r="F38" s="838"/>
      <c r="G38" s="838"/>
      <c r="H38" s="838"/>
    </row>
    <row r="39" spans="1:8" ht="46.7" customHeight="1" x14ac:dyDescent="0.25">
      <c r="A39" s="504" t="s">
        <v>493</v>
      </c>
      <c r="B39" s="505" t="s">
        <v>610</v>
      </c>
      <c r="C39" s="578" t="s">
        <v>611</v>
      </c>
      <c r="D39" s="505" t="s">
        <v>612</v>
      </c>
      <c r="E39" s="505" t="s">
        <v>7</v>
      </c>
      <c r="F39" s="505" t="s">
        <v>613</v>
      </c>
      <c r="G39" s="505" t="s">
        <v>614</v>
      </c>
      <c r="H39" s="506" t="s">
        <v>29</v>
      </c>
    </row>
    <row r="40" spans="1:8" ht="30.2" customHeight="1" x14ac:dyDescent="0.25">
      <c r="A40" s="213"/>
      <c r="B40" s="576" t="str">
        <f>IF($A40="","",(LOOKUP($A40,'Catchment Summary Table'!$A$4:$A$33,'Catchment Summary Table'!$B$4:$B$33)))</f>
        <v/>
      </c>
      <c r="C40" s="576" t="str">
        <f>IF($A40="","",(LOOKUP($A40,'Catchment Summary Table'!$A$4:$A$33,'Catchment Summary Table'!$C$4:$C$33)))</f>
        <v/>
      </c>
      <c r="D40" s="576" t="str">
        <f>IF($A40="","",(LOOKUP($A40,'Catchment Summary Table'!$A$4:$A$33,'Catchment Summary Table'!$D$4:$D$33)))</f>
        <v/>
      </c>
      <c r="E40" s="576" t="str">
        <f>IF($A40="","",(LOOKUP($A40,'Catchment Summary Table'!$A$4:$A$33,'Catchment Summary Table'!$E$4:$E$33)))</f>
        <v/>
      </c>
      <c r="F40" s="576" t="str">
        <f>IF($A40="","",(LOOKUP($A40,'Catchment Summary Table'!$A$4:$A$33,'Catchment Summary Table'!$F$4:$F$33)))</f>
        <v/>
      </c>
      <c r="G40" s="576" t="str">
        <f>IF(B40="","",IFERROR('Total WQv Calculation'!$B$4,""))</f>
        <v/>
      </c>
      <c r="H40" s="546" t="str">
        <f>IF($A40="","",(LOOKUP($A40,'Catchment Summary Table'!$A$4:$A$33,'Catchment Summary Table'!$G$4:$G$33)))</f>
        <v/>
      </c>
    </row>
    <row r="41" spans="1:8" hidden="1" x14ac:dyDescent="0.25">
      <c r="A41" s="846" t="str">
        <f>IF(B40&lt;10000/43560,"Does Not Meet Conservation Area Criteria"," ")</f>
        <v xml:space="preserve"> </v>
      </c>
      <c r="B41" s="847"/>
      <c r="C41" s="847"/>
      <c r="D41" s="847"/>
      <c r="E41" s="847"/>
      <c r="F41" s="847"/>
      <c r="G41" s="847"/>
      <c r="H41" s="848"/>
    </row>
    <row r="42" spans="1:8" x14ac:dyDescent="0.25">
      <c r="A42" s="840" t="s">
        <v>63</v>
      </c>
      <c r="B42" s="840"/>
      <c r="C42" s="840"/>
      <c r="D42" s="840"/>
      <c r="E42" s="840"/>
      <c r="F42" s="840"/>
      <c r="G42" s="840"/>
      <c r="H42" s="840"/>
    </row>
    <row r="43" spans="1:8" s="563" customFormat="1" hidden="1" x14ac:dyDescent="0.25">
      <c r="A43" s="840"/>
      <c r="B43" s="840"/>
      <c r="C43" s="840"/>
      <c r="D43" s="840"/>
      <c r="E43" s="840"/>
      <c r="F43" s="840"/>
      <c r="G43" s="840"/>
      <c r="H43" s="840"/>
    </row>
    <row r="44" spans="1:8" hidden="1" x14ac:dyDescent="0.25">
      <c r="A44" s="237"/>
      <c r="B44" s="156"/>
      <c r="C44" s="528"/>
      <c r="D44" s="841"/>
      <c r="E44" s="842"/>
      <c r="F44" s="842"/>
      <c r="G44" s="842"/>
      <c r="H44" s="843"/>
    </row>
    <row r="45" spans="1:8" s="520" customFormat="1" ht="30.2" customHeight="1" x14ac:dyDescent="0.25">
      <c r="A45" s="677" t="s">
        <v>325</v>
      </c>
      <c r="B45" s="845"/>
      <c r="C45" s="845"/>
      <c r="D45" s="845"/>
      <c r="E45" s="845"/>
      <c r="F45" s="678"/>
      <c r="G45" s="95"/>
      <c r="H45" s="333" t="str">
        <f>IF(G45="No","Cannot use this practice"," ")</f>
        <v xml:space="preserve"> </v>
      </c>
    </row>
    <row r="46" spans="1:8" s="520" customFormat="1" ht="30.2" customHeight="1" x14ac:dyDescent="0.25">
      <c r="A46" s="844" t="s">
        <v>336</v>
      </c>
      <c r="B46" s="844"/>
      <c r="C46" s="844"/>
      <c r="D46" s="844"/>
      <c r="E46" s="844"/>
      <c r="F46" s="844"/>
      <c r="G46" s="95"/>
      <c r="H46" s="334"/>
    </row>
    <row r="47" spans="1:8" s="520" customFormat="1" ht="30.2" customHeight="1" x14ac:dyDescent="0.25">
      <c r="A47" s="844" t="s">
        <v>326</v>
      </c>
      <c r="B47" s="844"/>
      <c r="C47" s="844"/>
      <c r="D47" s="844"/>
      <c r="E47" s="844"/>
      <c r="F47" s="844"/>
      <c r="G47" s="95"/>
      <c r="H47" s="334"/>
    </row>
    <row r="48" spans="1:8" s="520" customFormat="1" ht="30.2" customHeight="1" x14ac:dyDescent="0.25">
      <c r="A48" s="844" t="s">
        <v>328</v>
      </c>
      <c r="B48" s="844"/>
      <c r="C48" s="844"/>
      <c r="D48" s="844"/>
      <c r="E48" s="844"/>
      <c r="F48" s="844"/>
      <c r="G48" s="95"/>
      <c r="H48" s="334"/>
    </row>
    <row r="49" spans="1:8" s="520" customFormat="1" ht="30.2" customHeight="1" x14ac:dyDescent="0.25">
      <c r="A49" s="844" t="s">
        <v>327</v>
      </c>
      <c r="B49" s="844"/>
      <c r="C49" s="844"/>
      <c r="D49" s="844"/>
      <c r="E49" s="844"/>
      <c r="F49" s="844"/>
      <c r="G49" s="95"/>
      <c r="H49" s="334" t="str">
        <f>IF( G49="Yes","Design as Buffer"," ")</f>
        <v xml:space="preserve"> </v>
      </c>
    </row>
    <row r="50" spans="1:8" s="520" customFormat="1" ht="30.2" customHeight="1" x14ac:dyDescent="0.25">
      <c r="A50" s="844" t="s">
        <v>334</v>
      </c>
      <c r="B50" s="844"/>
      <c r="C50" s="844"/>
      <c r="D50" s="844"/>
      <c r="E50" s="844"/>
      <c r="F50" s="844"/>
      <c r="G50" s="95"/>
      <c r="H50" s="334"/>
    </row>
    <row r="51" spans="1:8" s="520" customFormat="1" ht="30.2" customHeight="1" x14ac:dyDescent="0.25">
      <c r="A51" s="844" t="s">
        <v>335</v>
      </c>
      <c r="B51" s="844"/>
      <c r="C51" s="844"/>
      <c r="D51" s="844"/>
      <c r="E51" s="844"/>
      <c r="F51" s="844"/>
      <c r="G51" s="95"/>
      <c r="H51" s="335" t="str">
        <f>IF(G51= "Yes", "Cannot use this technique"," ")</f>
        <v xml:space="preserve"> </v>
      </c>
    </row>
    <row r="52" spans="1:8" x14ac:dyDescent="0.25">
      <c r="A52" s="836"/>
      <c r="B52" s="837"/>
      <c r="C52" s="837"/>
      <c r="D52" s="837"/>
      <c r="E52" s="837"/>
      <c r="F52" s="837"/>
      <c r="G52" s="837"/>
      <c r="H52" s="527"/>
    </row>
    <row r="53" spans="1:8" x14ac:dyDescent="0.25">
      <c r="A53" s="832"/>
      <c r="B53" s="695"/>
      <c r="C53" s="695"/>
      <c r="D53" s="695"/>
      <c r="E53" s="695"/>
      <c r="F53" s="695"/>
      <c r="G53" s="695"/>
      <c r="H53" s="833"/>
    </row>
    <row r="54" spans="1:8" x14ac:dyDescent="0.25">
      <c r="A54" s="834" t="s">
        <v>536</v>
      </c>
      <c r="B54" s="834"/>
      <c r="C54" s="704"/>
      <c r="D54" s="218"/>
      <c r="H54" s="332"/>
    </row>
    <row r="55" spans="1:8" ht="15" customHeight="1" x14ac:dyDescent="0.25">
      <c r="A55" s="840" t="s">
        <v>374</v>
      </c>
      <c r="B55" s="840"/>
      <c r="C55" s="840"/>
      <c r="D55" s="840"/>
      <c r="E55" s="840"/>
      <c r="F55" s="840"/>
      <c r="G55" s="840"/>
      <c r="H55" s="840"/>
    </row>
    <row r="56" spans="1:8" ht="30.2" customHeight="1" x14ac:dyDescent="0.25">
      <c r="A56" s="831" t="s">
        <v>377</v>
      </c>
      <c r="B56" s="831"/>
      <c r="C56" s="290">
        <f>IF(D54="Yes",B40,0)</f>
        <v>0</v>
      </c>
      <c r="D56" s="771" t="s">
        <v>564</v>
      </c>
      <c r="E56" s="771"/>
      <c r="F56" s="771"/>
      <c r="G56" s="771"/>
      <c r="H56" s="771"/>
    </row>
    <row r="57" spans="1:8" ht="30.2" customHeight="1" x14ac:dyDescent="0.25">
      <c r="A57" s="831" t="s">
        <v>377</v>
      </c>
      <c r="B57" s="831"/>
      <c r="C57" s="290">
        <f>IF(D54="Yes",C40,0)</f>
        <v>0</v>
      </c>
      <c r="D57" s="771" t="s">
        <v>565</v>
      </c>
      <c r="E57" s="771"/>
      <c r="F57" s="771"/>
      <c r="G57" s="771"/>
      <c r="H57" s="771"/>
    </row>
    <row r="74" spans="1:8" x14ac:dyDescent="0.25">
      <c r="A74" s="561" t="s">
        <v>600</v>
      </c>
      <c r="B74" s="562" t="str">
        <f>IF('Total WQv Calculation'!$B$3="","",'Total WQv Calculation'!$B$3)</f>
        <v/>
      </c>
    </row>
    <row r="75" spans="1:8" x14ac:dyDescent="0.25">
      <c r="A75" s="838" t="s">
        <v>79</v>
      </c>
      <c r="B75" s="838"/>
      <c r="C75" s="838"/>
      <c r="D75" s="838"/>
      <c r="E75" s="838"/>
      <c r="F75" s="838"/>
      <c r="G75" s="838"/>
      <c r="H75" s="838"/>
    </row>
    <row r="76" spans="1:8" ht="46.7" customHeight="1" x14ac:dyDescent="0.25">
      <c r="A76" s="504" t="s">
        <v>493</v>
      </c>
      <c r="B76" s="505" t="s">
        <v>610</v>
      </c>
      <c r="C76" s="578" t="s">
        <v>611</v>
      </c>
      <c r="D76" s="505" t="s">
        <v>612</v>
      </c>
      <c r="E76" s="505" t="s">
        <v>7</v>
      </c>
      <c r="F76" s="505" t="s">
        <v>613</v>
      </c>
      <c r="G76" s="505" t="s">
        <v>614</v>
      </c>
      <c r="H76" s="506" t="s">
        <v>29</v>
      </c>
    </row>
    <row r="77" spans="1:8" ht="30.2" customHeight="1" x14ac:dyDescent="0.25">
      <c r="A77" s="213"/>
      <c r="B77" s="576" t="str">
        <f>IF($A77="","",(LOOKUP($A77,'Catchment Summary Table'!$A$4:$A$33,'Catchment Summary Table'!$B$4:$B$33)))</f>
        <v/>
      </c>
      <c r="C77" s="576" t="str">
        <f>IF($A77="","",(LOOKUP($A77,'Catchment Summary Table'!$A$4:$A$33,'Catchment Summary Table'!$C$4:$C$33)))</f>
        <v/>
      </c>
      <c r="D77" s="576" t="str">
        <f>IF($A77="","",(LOOKUP($A77,'Catchment Summary Table'!$A$4:$A$33,'Catchment Summary Table'!$D$4:$D$33)))</f>
        <v/>
      </c>
      <c r="E77" s="576" t="str">
        <f>IF($A77="","",(LOOKUP($A77,'Catchment Summary Table'!$A$4:$A$33,'Catchment Summary Table'!$E$4:$E$33)))</f>
        <v/>
      </c>
      <c r="F77" s="576" t="str">
        <f>IF($A77="","",(LOOKUP($A77,'Catchment Summary Table'!$A$4:$A$33,'Catchment Summary Table'!$F$4:$F$33)))</f>
        <v/>
      </c>
      <c r="G77" s="576" t="str">
        <f>IF(B77="","",IFERROR('Total WQv Calculation'!$B$4,""))</f>
        <v/>
      </c>
      <c r="H77" s="546" t="str">
        <f>IF($A77="","",(LOOKUP($A77,'Catchment Summary Table'!$A$4:$A$33,'Catchment Summary Table'!$G$4:$G$33)))</f>
        <v/>
      </c>
    </row>
    <row r="78" spans="1:8" hidden="1" x14ac:dyDescent="0.25">
      <c r="A78" s="846" t="str">
        <f>IF(B77&lt;10000/43560,"Does Not Meet Conservation Area Criteria"," ")</f>
        <v xml:space="preserve"> </v>
      </c>
      <c r="B78" s="847"/>
      <c r="C78" s="847"/>
      <c r="D78" s="847"/>
      <c r="E78" s="847"/>
      <c r="F78" s="847"/>
      <c r="G78" s="847"/>
      <c r="H78" s="848"/>
    </row>
    <row r="79" spans="1:8" x14ac:dyDescent="0.25">
      <c r="A79" s="840" t="s">
        <v>63</v>
      </c>
      <c r="B79" s="840"/>
      <c r="C79" s="840"/>
      <c r="D79" s="840"/>
      <c r="E79" s="840"/>
      <c r="F79" s="840"/>
      <c r="G79" s="840"/>
      <c r="H79" s="840"/>
    </row>
    <row r="80" spans="1:8" hidden="1" x14ac:dyDescent="0.25">
      <c r="A80" s="849"/>
      <c r="B80" s="850"/>
      <c r="C80" s="850"/>
      <c r="D80" s="850"/>
      <c r="E80" s="850"/>
      <c r="F80" s="850"/>
      <c r="G80" s="850"/>
      <c r="H80" s="851"/>
    </row>
    <row r="81" spans="1:8" hidden="1" x14ac:dyDescent="0.25">
      <c r="A81" s="237"/>
      <c r="B81" s="156"/>
      <c r="C81" s="528"/>
      <c r="D81" s="841"/>
      <c r="E81" s="842"/>
      <c r="F81" s="842"/>
      <c r="G81" s="842"/>
      <c r="H81" s="843"/>
    </row>
    <row r="82" spans="1:8" ht="30.2" customHeight="1" x14ac:dyDescent="0.25">
      <c r="A82" s="677" t="s">
        <v>325</v>
      </c>
      <c r="B82" s="845"/>
      <c r="C82" s="845"/>
      <c r="D82" s="845"/>
      <c r="E82" s="845"/>
      <c r="F82" s="678"/>
      <c r="G82" s="95"/>
      <c r="H82" s="330" t="str">
        <f>IF(G82="No","Cannot use this practice"," ")</f>
        <v xml:space="preserve"> </v>
      </c>
    </row>
    <row r="83" spans="1:8" ht="30.2" customHeight="1" x14ac:dyDescent="0.25">
      <c r="A83" s="844" t="s">
        <v>336</v>
      </c>
      <c r="B83" s="844"/>
      <c r="C83" s="844"/>
      <c r="D83" s="844"/>
      <c r="E83" s="844"/>
      <c r="F83" s="844"/>
      <c r="G83" s="95"/>
      <c r="H83" s="527"/>
    </row>
    <row r="84" spans="1:8" ht="30.2" customHeight="1" x14ac:dyDescent="0.25">
      <c r="A84" s="844" t="s">
        <v>326</v>
      </c>
      <c r="B84" s="844"/>
      <c r="C84" s="844"/>
      <c r="D84" s="844"/>
      <c r="E84" s="844"/>
      <c r="F84" s="844"/>
      <c r="G84" s="95"/>
      <c r="H84" s="527"/>
    </row>
    <row r="85" spans="1:8" ht="30.2" customHeight="1" x14ac:dyDescent="0.25">
      <c r="A85" s="844" t="s">
        <v>328</v>
      </c>
      <c r="B85" s="844"/>
      <c r="C85" s="844"/>
      <c r="D85" s="844"/>
      <c r="E85" s="844"/>
      <c r="F85" s="844"/>
      <c r="G85" s="95"/>
      <c r="H85" s="527"/>
    </row>
    <row r="86" spans="1:8" ht="30.2" customHeight="1" x14ac:dyDescent="0.25">
      <c r="A86" s="844" t="s">
        <v>327</v>
      </c>
      <c r="B86" s="844"/>
      <c r="C86" s="844"/>
      <c r="D86" s="844"/>
      <c r="E86" s="844"/>
      <c r="F86" s="844"/>
      <c r="G86" s="95"/>
      <c r="H86" s="527" t="str">
        <f>IF( G86="Yes","Design as Buffer"," ")</f>
        <v xml:space="preserve"> </v>
      </c>
    </row>
    <row r="87" spans="1:8" ht="30.2" customHeight="1" x14ac:dyDescent="0.25">
      <c r="A87" s="844" t="s">
        <v>334</v>
      </c>
      <c r="B87" s="844"/>
      <c r="C87" s="844"/>
      <c r="D87" s="844"/>
      <c r="E87" s="844"/>
      <c r="F87" s="844"/>
      <c r="G87" s="95"/>
      <c r="H87" s="527"/>
    </row>
    <row r="88" spans="1:8" ht="30.2" customHeight="1" x14ac:dyDescent="0.25">
      <c r="A88" s="844" t="s">
        <v>335</v>
      </c>
      <c r="B88" s="844"/>
      <c r="C88" s="844"/>
      <c r="D88" s="844"/>
      <c r="E88" s="844"/>
      <c r="F88" s="844"/>
      <c r="G88" s="95"/>
      <c r="H88" s="331" t="str">
        <f>IF(G88= "Yes", "Cannot use this technique"," ")</f>
        <v xml:space="preserve"> </v>
      </c>
    </row>
    <row r="89" spans="1:8" x14ac:dyDescent="0.25">
      <c r="A89" s="836"/>
      <c r="B89" s="837"/>
      <c r="C89" s="837"/>
      <c r="D89" s="837"/>
      <c r="E89" s="837"/>
      <c r="F89" s="837"/>
      <c r="G89" s="837"/>
      <c r="H89" s="527"/>
    </row>
    <row r="90" spans="1:8" x14ac:dyDescent="0.25">
      <c r="A90" s="832"/>
      <c r="B90" s="695"/>
      <c r="C90" s="695"/>
      <c r="D90" s="695"/>
      <c r="E90" s="695"/>
      <c r="F90" s="695"/>
      <c r="G90" s="695"/>
      <c r="H90" s="833"/>
    </row>
    <row r="91" spans="1:8" x14ac:dyDescent="0.25">
      <c r="A91" s="852" t="s">
        <v>536</v>
      </c>
      <c r="B91" s="852"/>
      <c r="C91" s="853"/>
      <c r="D91" s="218"/>
      <c r="E91" s="359"/>
      <c r="F91" s="359"/>
      <c r="G91" s="359"/>
      <c r="H91" s="360"/>
    </row>
    <row r="92" spans="1:8" s="613" customFormat="1" ht="15" customHeight="1" x14ac:dyDescent="0.25">
      <c r="A92" s="856" t="s">
        <v>374</v>
      </c>
      <c r="B92" s="856"/>
      <c r="C92" s="856"/>
      <c r="D92" s="856"/>
      <c r="E92" s="856"/>
      <c r="F92" s="856"/>
      <c r="G92" s="856"/>
      <c r="H92" s="856"/>
    </row>
    <row r="93" spans="1:8" ht="30.2" customHeight="1" x14ac:dyDescent="0.25">
      <c r="A93" s="854" t="s">
        <v>377</v>
      </c>
      <c r="B93" s="854"/>
      <c r="C93" s="361">
        <f>IF(D91="Yes",B77,0)</f>
        <v>0</v>
      </c>
      <c r="D93" s="855" t="s">
        <v>564</v>
      </c>
      <c r="E93" s="855"/>
      <c r="F93" s="855"/>
      <c r="G93" s="855"/>
      <c r="H93" s="855"/>
    </row>
    <row r="94" spans="1:8" ht="30.2" customHeight="1" x14ac:dyDescent="0.25">
      <c r="A94" s="854" t="s">
        <v>377</v>
      </c>
      <c r="B94" s="854"/>
      <c r="C94" s="361">
        <f>IF(D91="Yes",C77,0)</f>
        <v>0</v>
      </c>
      <c r="D94" s="855" t="s">
        <v>565</v>
      </c>
      <c r="E94" s="855"/>
      <c r="F94" s="855"/>
      <c r="G94" s="855"/>
      <c r="H94" s="855"/>
    </row>
    <row r="111" spans="1:8" x14ac:dyDescent="0.25">
      <c r="A111" s="561" t="s">
        <v>600</v>
      </c>
      <c r="B111" s="562" t="str">
        <f>IF('Total WQv Calculation'!$B$3="","",'Total WQv Calculation'!$B$3)</f>
        <v/>
      </c>
    </row>
    <row r="112" spans="1:8" x14ac:dyDescent="0.25">
      <c r="A112" s="838" t="s">
        <v>79</v>
      </c>
      <c r="B112" s="838"/>
      <c r="C112" s="838"/>
      <c r="D112" s="838"/>
      <c r="E112" s="838"/>
      <c r="F112" s="838"/>
      <c r="G112" s="838"/>
      <c r="H112" s="838"/>
    </row>
    <row r="113" spans="1:8" ht="46.7" customHeight="1" x14ac:dyDescent="0.25">
      <c r="A113" s="504" t="s">
        <v>493</v>
      </c>
      <c r="B113" s="505" t="s">
        <v>610</v>
      </c>
      <c r="C113" s="578" t="s">
        <v>611</v>
      </c>
      <c r="D113" s="505" t="s">
        <v>612</v>
      </c>
      <c r="E113" s="505" t="s">
        <v>7</v>
      </c>
      <c r="F113" s="505" t="s">
        <v>613</v>
      </c>
      <c r="G113" s="505" t="s">
        <v>614</v>
      </c>
      <c r="H113" s="506" t="s">
        <v>29</v>
      </c>
    </row>
    <row r="114" spans="1:8" ht="30.2" customHeight="1" x14ac:dyDescent="0.25">
      <c r="A114" s="213"/>
      <c r="B114" s="576" t="str">
        <f>IF($A114="","",(LOOKUP($A114,'Catchment Summary Table'!$A$4:$A$33,'Catchment Summary Table'!$B$4:$B$33)))</f>
        <v/>
      </c>
      <c r="C114" s="576" t="str">
        <f>IF($A114="","",(LOOKUP($A114,'Catchment Summary Table'!$A$4:$A$33,'Catchment Summary Table'!$C$4:$C$33)))</f>
        <v/>
      </c>
      <c r="D114" s="576" t="str">
        <f>IF($A114="","",(LOOKUP($A114,'Catchment Summary Table'!$A$4:$A$33,'Catchment Summary Table'!$D$4:$D$33)))</f>
        <v/>
      </c>
      <c r="E114" s="576" t="str">
        <f>IF($A114="","",(LOOKUP($A114,'Catchment Summary Table'!$A$4:$A$33,'Catchment Summary Table'!$E$4:$E$33)))</f>
        <v/>
      </c>
      <c r="F114" s="576" t="str">
        <f>IF($A114="","",(LOOKUP($A114,'Catchment Summary Table'!$A$4:$A$33,'Catchment Summary Table'!$F$4:$F$33)))</f>
        <v/>
      </c>
      <c r="G114" s="576" t="str">
        <f>IF(B114="","",IFERROR('Total WQv Calculation'!$B$4,""))</f>
        <v/>
      </c>
      <c r="H114" s="546" t="str">
        <f>IF($A114="","",(LOOKUP($A114,'Catchment Summary Table'!$A$4:$A$33,'Catchment Summary Table'!$G$4:$G$33)))</f>
        <v/>
      </c>
    </row>
    <row r="115" spans="1:8" hidden="1" x14ac:dyDescent="0.25">
      <c r="A115" s="846" t="str">
        <f>IF(B114&lt;10000/43560,"Does Not Meet Conservation Area Criteria"," ")</f>
        <v xml:space="preserve"> </v>
      </c>
      <c r="B115" s="847"/>
      <c r="C115" s="847"/>
      <c r="D115" s="847"/>
      <c r="E115" s="847"/>
      <c r="F115" s="847"/>
      <c r="G115" s="847"/>
      <c r="H115" s="848"/>
    </row>
    <row r="116" spans="1:8" x14ac:dyDescent="0.25">
      <c r="A116" s="840" t="s">
        <v>63</v>
      </c>
      <c r="B116" s="840"/>
      <c r="C116" s="840"/>
      <c r="D116" s="840"/>
      <c r="E116" s="840"/>
      <c r="F116" s="840"/>
      <c r="G116" s="840"/>
      <c r="H116" s="840"/>
    </row>
    <row r="117" spans="1:8" hidden="1" x14ac:dyDescent="0.25">
      <c r="A117" s="849"/>
      <c r="B117" s="850"/>
      <c r="C117" s="850"/>
      <c r="D117" s="850"/>
      <c r="E117" s="850"/>
      <c r="F117" s="850"/>
      <c r="G117" s="850"/>
      <c r="H117" s="851"/>
    </row>
    <row r="118" spans="1:8" hidden="1" x14ac:dyDescent="0.25">
      <c r="A118" s="237"/>
      <c r="B118" s="156"/>
      <c r="C118" s="528"/>
      <c r="D118" s="841"/>
      <c r="E118" s="842"/>
      <c r="F118" s="842"/>
      <c r="G118" s="842"/>
      <c r="H118" s="843"/>
    </row>
    <row r="119" spans="1:8" s="520" customFormat="1" ht="30.2" customHeight="1" x14ac:dyDescent="0.25">
      <c r="A119" s="677" t="s">
        <v>325</v>
      </c>
      <c r="B119" s="845"/>
      <c r="C119" s="845"/>
      <c r="D119" s="845"/>
      <c r="E119" s="845"/>
      <c r="F119" s="678"/>
      <c r="G119" s="95"/>
      <c r="H119" s="336" t="str">
        <f>IF(G119="No","Cannot use this practice"," ")</f>
        <v xml:space="preserve"> </v>
      </c>
    </row>
    <row r="120" spans="1:8" s="520" customFormat="1" ht="30.2" customHeight="1" x14ac:dyDescent="0.25">
      <c r="A120" s="844" t="s">
        <v>336</v>
      </c>
      <c r="B120" s="844"/>
      <c r="C120" s="844"/>
      <c r="D120" s="844"/>
      <c r="E120" s="844"/>
      <c r="F120" s="844"/>
      <c r="G120" s="95"/>
      <c r="H120" s="337"/>
    </row>
    <row r="121" spans="1:8" s="520" customFormat="1" ht="30.2" customHeight="1" x14ac:dyDescent="0.25">
      <c r="A121" s="844" t="s">
        <v>326</v>
      </c>
      <c r="B121" s="844"/>
      <c r="C121" s="844"/>
      <c r="D121" s="844"/>
      <c r="E121" s="844"/>
      <c r="F121" s="844"/>
      <c r="G121" s="95"/>
      <c r="H121" s="337"/>
    </row>
    <row r="122" spans="1:8" s="520" customFormat="1" ht="30.2" customHeight="1" x14ac:dyDescent="0.25">
      <c r="A122" s="844" t="s">
        <v>328</v>
      </c>
      <c r="B122" s="844"/>
      <c r="C122" s="844"/>
      <c r="D122" s="844"/>
      <c r="E122" s="844"/>
      <c r="F122" s="844"/>
      <c r="G122" s="95"/>
      <c r="H122" s="337"/>
    </row>
    <row r="123" spans="1:8" s="520" customFormat="1" ht="30.2" customHeight="1" x14ac:dyDescent="0.25">
      <c r="A123" s="844" t="s">
        <v>327</v>
      </c>
      <c r="B123" s="844"/>
      <c r="C123" s="844"/>
      <c r="D123" s="844"/>
      <c r="E123" s="844"/>
      <c r="F123" s="844"/>
      <c r="G123" s="95"/>
      <c r="H123" s="337" t="str">
        <f>IF( G123="Yes","Design as Buffer"," ")</f>
        <v xml:space="preserve"> </v>
      </c>
    </row>
    <row r="124" spans="1:8" s="520" customFormat="1" ht="30.2" customHeight="1" x14ac:dyDescent="0.25">
      <c r="A124" s="844" t="s">
        <v>334</v>
      </c>
      <c r="B124" s="844"/>
      <c r="C124" s="844"/>
      <c r="D124" s="844"/>
      <c r="E124" s="844"/>
      <c r="F124" s="844"/>
      <c r="G124" s="95"/>
      <c r="H124" s="337"/>
    </row>
    <row r="125" spans="1:8" s="520" customFormat="1" ht="30.2" customHeight="1" x14ac:dyDescent="0.25">
      <c r="A125" s="844" t="s">
        <v>335</v>
      </c>
      <c r="B125" s="844"/>
      <c r="C125" s="844"/>
      <c r="D125" s="844"/>
      <c r="E125" s="844"/>
      <c r="F125" s="844"/>
      <c r="G125" s="95"/>
      <c r="H125" s="338" t="str">
        <f>IF(G125= "Yes", "Cannot use this technique"," ")</f>
        <v xml:space="preserve"> </v>
      </c>
    </row>
    <row r="126" spans="1:8" x14ac:dyDescent="0.25">
      <c r="A126" s="836"/>
      <c r="B126" s="837"/>
      <c r="C126" s="837"/>
      <c r="D126" s="837"/>
      <c r="E126" s="837"/>
      <c r="F126" s="837"/>
      <c r="G126" s="837"/>
      <c r="H126" s="527"/>
    </row>
    <row r="127" spans="1:8" x14ac:dyDescent="0.25">
      <c r="A127" s="832"/>
      <c r="B127" s="695"/>
      <c r="C127" s="695"/>
      <c r="D127" s="695"/>
      <c r="E127" s="695"/>
      <c r="F127" s="695"/>
      <c r="G127" s="695"/>
      <c r="H127" s="833"/>
    </row>
    <row r="128" spans="1:8" x14ac:dyDescent="0.25">
      <c r="A128" s="857" t="s">
        <v>536</v>
      </c>
      <c r="B128" s="857"/>
      <c r="C128" s="858"/>
      <c r="D128" s="218"/>
      <c r="H128" s="339"/>
    </row>
    <row r="129" spans="1:8" ht="15" customHeight="1" x14ac:dyDescent="0.25">
      <c r="A129" s="840" t="s">
        <v>374</v>
      </c>
      <c r="B129" s="840"/>
      <c r="C129" s="840"/>
      <c r="D129" s="840"/>
      <c r="E129" s="840"/>
      <c r="F129" s="840"/>
      <c r="G129" s="840"/>
      <c r="H129" s="840"/>
    </row>
    <row r="130" spans="1:8" ht="30.2" customHeight="1" x14ac:dyDescent="0.25">
      <c r="A130" s="831" t="s">
        <v>377</v>
      </c>
      <c r="B130" s="831"/>
      <c r="C130" s="290">
        <f>IF(D128="Yes",B114,0)</f>
        <v>0</v>
      </c>
      <c r="D130" s="771" t="s">
        <v>564</v>
      </c>
      <c r="E130" s="771"/>
      <c r="F130" s="771"/>
      <c r="G130" s="771"/>
      <c r="H130" s="771"/>
    </row>
    <row r="131" spans="1:8" ht="30.2" customHeight="1" x14ac:dyDescent="0.25">
      <c r="A131" s="831" t="s">
        <v>377</v>
      </c>
      <c r="B131" s="831"/>
      <c r="C131" s="290">
        <f>IF(D128="Yes",C114,0)</f>
        <v>0</v>
      </c>
      <c r="D131" s="771" t="s">
        <v>565</v>
      </c>
      <c r="E131" s="771"/>
      <c r="F131" s="771"/>
      <c r="G131" s="771"/>
      <c r="H131" s="771"/>
    </row>
    <row r="132" spans="1:8" x14ac:dyDescent="0.25">
      <c r="A132" s="614"/>
      <c r="B132" s="614"/>
    </row>
    <row r="148" spans="1:5" ht="15" customHeight="1" x14ac:dyDescent="0.25">
      <c r="A148" s="782" t="s">
        <v>519</v>
      </c>
      <c r="B148" s="782"/>
      <c r="C148" s="782"/>
      <c r="D148" s="782"/>
      <c r="E148" s="315">
        <f>SUM(C20,C56,C93,C130)</f>
        <v>0</v>
      </c>
    </row>
    <row r="149" spans="1:5" ht="15" customHeight="1" x14ac:dyDescent="0.25">
      <c r="A149" s="782" t="s">
        <v>520</v>
      </c>
      <c r="B149" s="782"/>
      <c r="C149" s="782"/>
      <c r="D149" s="782"/>
      <c r="E149" s="315">
        <f>SUM(C21,C57,C94,C131)</f>
        <v>0</v>
      </c>
    </row>
  </sheetData>
  <sheetProtection password="C7D7" sheet="1" objects="1" scenarios="1" formatColumns="0" formatRows="0"/>
  <mergeCells count="83">
    <mergeCell ref="A149:D149"/>
    <mergeCell ref="A148:D148"/>
    <mergeCell ref="A130:B130"/>
    <mergeCell ref="D130:H130"/>
    <mergeCell ref="A131:B131"/>
    <mergeCell ref="D131:H131"/>
    <mergeCell ref="A129:H129"/>
    <mergeCell ref="A124:F124"/>
    <mergeCell ref="A125:F125"/>
    <mergeCell ref="A126:G126"/>
    <mergeCell ref="A127:H127"/>
    <mergeCell ref="A128:C128"/>
    <mergeCell ref="A119:F119"/>
    <mergeCell ref="A120:F120"/>
    <mergeCell ref="A121:F121"/>
    <mergeCell ref="A122:F122"/>
    <mergeCell ref="A123:F123"/>
    <mergeCell ref="A112:H112"/>
    <mergeCell ref="A115:H115"/>
    <mergeCell ref="A116:H116"/>
    <mergeCell ref="A117:H117"/>
    <mergeCell ref="D118:H118"/>
    <mergeCell ref="A93:B93"/>
    <mergeCell ref="D93:H93"/>
    <mergeCell ref="A94:B94"/>
    <mergeCell ref="D94:H94"/>
    <mergeCell ref="A92:H92"/>
    <mergeCell ref="A87:F87"/>
    <mergeCell ref="A88:F88"/>
    <mergeCell ref="A89:G89"/>
    <mergeCell ref="A90:H90"/>
    <mergeCell ref="A91:C91"/>
    <mergeCell ref="A82:F82"/>
    <mergeCell ref="A83:F83"/>
    <mergeCell ref="A84:F84"/>
    <mergeCell ref="A85:F85"/>
    <mergeCell ref="A86:F86"/>
    <mergeCell ref="A75:H75"/>
    <mergeCell ref="A78:H78"/>
    <mergeCell ref="A79:H79"/>
    <mergeCell ref="A80:H80"/>
    <mergeCell ref="D81:H81"/>
    <mergeCell ref="A56:B56"/>
    <mergeCell ref="D56:H56"/>
    <mergeCell ref="A57:B57"/>
    <mergeCell ref="D57:H57"/>
    <mergeCell ref="A55:H55"/>
    <mergeCell ref="A50:F50"/>
    <mergeCell ref="A51:F51"/>
    <mergeCell ref="A52:G52"/>
    <mergeCell ref="A53:H53"/>
    <mergeCell ref="A54:C54"/>
    <mergeCell ref="A45:F45"/>
    <mergeCell ref="A46:F46"/>
    <mergeCell ref="A47:F47"/>
    <mergeCell ref="A48:F48"/>
    <mergeCell ref="A49:F49"/>
    <mergeCell ref="A38:H38"/>
    <mergeCell ref="A41:H41"/>
    <mergeCell ref="A42:H42"/>
    <mergeCell ref="A43:H43"/>
    <mergeCell ref="D44:H44"/>
    <mergeCell ref="J13:N13"/>
    <mergeCell ref="A20:B20"/>
    <mergeCell ref="A16:G16"/>
    <mergeCell ref="A2:H2"/>
    <mergeCell ref="A5:H5"/>
    <mergeCell ref="A6:H6"/>
    <mergeCell ref="A7:H7"/>
    <mergeCell ref="D8:H8"/>
    <mergeCell ref="A15:F15"/>
    <mergeCell ref="A12:F12"/>
    <mergeCell ref="A13:F13"/>
    <mergeCell ref="A14:F14"/>
    <mergeCell ref="A9:F9"/>
    <mergeCell ref="A10:F10"/>
    <mergeCell ref="A11:F11"/>
    <mergeCell ref="A21:B21"/>
    <mergeCell ref="D21:H21"/>
    <mergeCell ref="D20:H20"/>
    <mergeCell ref="A17:H17"/>
    <mergeCell ref="A18:C18"/>
    <mergeCell ref="A19:H19"/>
  </mergeCells>
  <dataValidations count="2">
    <dataValidation type="list" showInputMessage="1" showErrorMessage="1" promptTitle="Yes or No?" sqref="D128 D91 G82:G88 D18 G9:G15 G45:G51 D54 G119:G125">
      <formula1>YesNo</formula1>
    </dataValidation>
    <dataValidation type="list" showInputMessage="1" showErrorMessage="1" promptTitle="Choose Area" sqref="A114 A77 A4 A40">
      <formula1>CatchNo</formula1>
    </dataValidation>
  </dataValidations>
  <pageMargins left="0.7" right="0.7" top="0.75" bottom="0.75" header="0.3" footer="0.3"/>
  <pageSetup orientation="portrait" r:id="rId1"/>
  <headerFooter>
    <oddHeader>&amp;C&amp;18Conservation of Natural Areas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103"/>
  <sheetViews>
    <sheetView showZeros="0" view="pageLayout" zoomScaleNormal="100" workbookViewId="0">
      <selection activeCell="A4" sqref="A4"/>
    </sheetView>
  </sheetViews>
  <sheetFormatPr defaultColWidth="9.140625" defaultRowHeight="15" x14ac:dyDescent="0.25"/>
  <cols>
    <col min="1" max="1" width="12.7109375" style="529" customWidth="1"/>
    <col min="2" max="2" width="11.42578125" style="529" customWidth="1"/>
    <col min="3" max="3" width="11.140625" style="529" customWidth="1"/>
    <col min="4" max="4" width="10.5703125" style="529" customWidth="1"/>
    <col min="5" max="5" width="7" style="529" customWidth="1"/>
    <col min="6" max="6" width="7.5703125" style="529" customWidth="1"/>
    <col min="7" max="7" width="12.140625" style="529" customWidth="1"/>
    <col min="8" max="8" width="17.85546875" style="529" customWidth="1"/>
    <col min="9" max="9" width="30.42578125" style="529" bestFit="1" customWidth="1"/>
    <col min="10" max="16384" width="9.140625" style="529"/>
  </cols>
  <sheetData>
    <row r="1" spans="1:10" ht="15" customHeight="1" x14ac:dyDescent="0.25">
      <c r="A1" s="561" t="s">
        <v>600</v>
      </c>
      <c r="B1" s="562" t="str">
        <f>IF('Total WQv Calculation'!$B$3="","",'Total WQv Calculation'!$B$3)</f>
        <v/>
      </c>
    </row>
    <row r="2" spans="1:10" x14ac:dyDescent="0.25">
      <c r="A2" s="730" t="s">
        <v>79</v>
      </c>
      <c r="B2" s="731"/>
      <c r="C2" s="731"/>
      <c r="D2" s="731"/>
      <c r="E2" s="731"/>
      <c r="F2" s="731"/>
      <c r="G2" s="731"/>
      <c r="H2" s="732"/>
      <c r="J2" s="315"/>
    </row>
    <row r="3" spans="1:10" ht="46.7" customHeight="1" x14ac:dyDescent="0.25">
      <c r="A3" s="524" t="s">
        <v>493</v>
      </c>
      <c r="B3" s="840" t="s">
        <v>615</v>
      </c>
      <c r="C3" s="866"/>
      <c r="D3" s="730"/>
      <c r="E3" s="731"/>
      <c r="F3" s="731"/>
      <c r="G3" s="732"/>
      <c r="H3" s="524" t="s">
        <v>29</v>
      </c>
      <c r="J3" s="315"/>
    </row>
    <row r="4" spans="1:10" ht="30.2" customHeight="1" x14ac:dyDescent="0.25">
      <c r="A4" s="509"/>
      <c r="B4" s="861"/>
      <c r="C4" s="862"/>
      <c r="D4" s="863"/>
      <c r="E4" s="864"/>
      <c r="F4" s="864"/>
      <c r="G4" s="865"/>
      <c r="H4" s="177" t="s">
        <v>331</v>
      </c>
    </row>
    <row r="5" spans="1:10" x14ac:dyDescent="0.25">
      <c r="A5" s="840" t="s">
        <v>63</v>
      </c>
      <c r="B5" s="840"/>
      <c r="C5" s="840"/>
      <c r="D5" s="840"/>
      <c r="E5" s="840"/>
      <c r="F5" s="840"/>
      <c r="G5" s="840"/>
      <c r="H5" s="840"/>
    </row>
    <row r="6" spans="1:10" ht="30.2" customHeight="1" x14ac:dyDescent="0.25">
      <c r="A6" s="844" t="s">
        <v>368</v>
      </c>
      <c r="B6" s="844"/>
      <c r="C6" s="844"/>
      <c r="D6" s="95"/>
      <c r="E6" s="724" t="str">
        <f>IF(D6="Yes", "This practice is not applicable"," ")</f>
        <v xml:space="preserve"> </v>
      </c>
      <c r="F6" s="725"/>
      <c r="G6" s="725"/>
      <c r="H6" s="726"/>
    </row>
    <row r="7" spans="1:10" ht="30.2" customHeight="1" x14ac:dyDescent="0.25">
      <c r="A7" s="844" t="s">
        <v>394</v>
      </c>
      <c r="B7" s="844"/>
      <c r="C7" s="844"/>
      <c r="D7" s="509"/>
      <c r="E7" s="727"/>
      <c r="F7" s="728"/>
      <c r="G7" s="728"/>
      <c r="H7" s="729"/>
    </row>
    <row r="8" spans="1:10" ht="75.599999999999994" customHeight="1" x14ac:dyDescent="0.25">
      <c r="A8" s="723" t="s">
        <v>420</v>
      </c>
      <c r="B8" s="723"/>
      <c r="C8" s="723"/>
      <c r="D8" s="95"/>
      <c r="E8" s="523" t="s">
        <v>357</v>
      </c>
      <c r="F8" s="814" t="s">
        <v>419</v>
      </c>
      <c r="G8" s="814"/>
      <c r="H8" s="814"/>
    </row>
    <row r="9" spans="1:10" ht="30.2" customHeight="1" x14ac:dyDescent="0.25">
      <c r="A9" s="844" t="s">
        <v>395</v>
      </c>
      <c r="B9" s="844"/>
      <c r="C9" s="844"/>
      <c r="D9" s="95"/>
      <c r="E9" s="523"/>
      <c r="F9" s="814" t="str">
        <f>IF(D9="YES","cannot use this practice"," ")</f>
        <v xml:space="preserve"> </v>
      </c>
      <c r="G9" s="814"/>
      <c r="H9" s="814"/>
    </row>
    <row r="10" spans="1:10" ht="30.2" customHeight="1" x14ac:dyDescent="0.25">
      <c r="A10" s="844" t="s">
        <v>396</v>
      </c>
      <c r="B10" s="844"/>
      <c r="C10" s="844"/>
      <c r="D10" s="509"/>
      <c r="E10" s="523" t="s">
        <v>12</v>
      </c>
      <c r="F10" s="814" t="s">
        <v>397</v>
      </c>
      <c r="G10" s="814"/>
      <c r="H10" s="814"/>
    </row>
    <row r="11" spans="1:10" ht="30.2" customHeight="1" x14ac:dyDescent="0.25">
      <c r="A11" s="844" t="s">
        <v>398</v>
      </c>
      <c r="B11" s="844"/>
      <c r="C11" s="844"/>
      <c r="D11" s="509"/>
      <c r="E11" s="523" t="s">
        <v>12</v>
      </c>
      <c r="F11" s="814" t="s">
        <v>399</v>
      </c>
      <c r="G11" s="814"/>
      <c r="H11" s="814"/>
    </row>
    <row r="12" spans="1:10" ht="30.2" customHeight="1" x14ac:dyDescent="0.25">
      <c r="A12" s="844" t="s">
        <v>533</v>
      </c>
      <c r="B12" s="844"/>
      <c r="C12" s="844"/>
      <c r="D12" s="103"/>
      <c r="E12" s="523" t="s">
        <v>232</v>
      </c>
      <c r="F12" s="859" t="str">
        <f>IF(D12="","",IF(D12&gt;500,"Error:500 sf max. draining to each downspout","Okay"))</f>
        <v/>
      </c>
      <c r="G12" s="859"/>
      <c r="H12" s="859"/>
    </row>
    <row r="13" spans="1:10" ht="30.2" customHeight="1" x14ac:dyDescent="0.25">
      <c r="A13" s="844" t="s">
        <v>400</v>
      </c>
      <c r="B13" s="844"/>
      <c r="C13" s="844"/>
      <c r="D13" s="509"/>
      <c r="E13" s="523" t="s">
        <v>232</v>
      </c>
      <c r="F13" s="814" t="s">
        <v>401</v>
      </c>
      <c r="G13" s="814"/>
      <c r="H13" s="814"/>
    </row>
    <row r="14" spans="1:10" ht="30.2" customHeight="1" x14ac:dyDescent="0.25">
      <c r="A14" s="844" t="s">
        <v>402</v>
      </c>
      <c r="B14" s="844"/>
      <c r="C14" s="844"/>
      <c r="D14" s="509"/>
      <c r="E14" s="523"/>
      <c r="F14" s="814" t="s">
        <v>532</v>
      </c>
      <c r="G14" s="814"/>
      <c r="H14" s="814"/>
    </row>
    <row r="15" spans="1:10" ht="30.2" customHeight="1" x14ac:dyDescent="0.25">
      <c r="A15" s="844" t="s">
        <v>403</v>
      </c>
      <c r="B15" s="844"/>
      <c r="C15" s="844"/>
      <c r="D15" s="509"/>
      <c r="E15" s="523" t="s">
        <v>12</v>
      </c>
      <c r="F15" s="814" t="s">
        <v>404</v>
      </c>
      <c r="G15" s="814"/>
      <c r="H15" s="814"/>
    </row>
    <row r="16" spans="1:10" ht="30.2" customHeight="1" x14ac:dyDescent="0.25">
      <c r="A16" s="844" t="s">
        <v>405</v>
      </c>
      <c r="B16" s="844"/>
      <c r="C16" s="844"/>
      <c r="D16" s="509"/>
      <c r="E16" s="523" t="s">
        <v>11</v>
      </c>
      <c r="F16" s="814" t="s">
        <v>406</v>
      </c>
      <c r="G16" s="814"/>
      <c r="H16" s="814"/>
    </row>
    <row r="17" spans="1:8" ht="30.2" customHeight="1" x14ac:dyDescent="0.25">
      <c r="A17" s="844" t="s">
        <v>407</v>
      </c>
      <c r="B17" s="844"/>
      <c r="C17" s="844"/>
      <c r="D17" s="95"/>
      <c r="E17" s="727"/>
      <c r="F17" s="728"/>
      <c r="G17" s="728"/>
      <c r="H17" s="729"/>
    </row>
    <row r="18" spans="1:8" ht="30.2" hidden="1" customHeight="1" x14ac:dyDescent="0.25">
      <c r="A18" s="860"/>
      <c r="B18" s="794"/>
      <c r="C18" s="794"/>
      <c r="D18" s="223"/>
      <c r="E18" s="520"/>
      <c r="F18" s="791"/>
      <c r="G18" s="791"/>
      <c r="H18" s="791"/>
    </row>
    <row r="19" spans="1:8" ht="30.2" customHeight="1" x14ac:dyDescent="0.25">
      <c r="A19" s="867" t="s">
        <v>534</v>
      </c>
      <c r="B19" s="867"/>
      <c r="C19" s="867"/>
      <c r="D19" s="218"/>
      <c r="E19" s="859" t="str">
        <f>IF(D19="No","Disconnection of Rooftops is not an acceptable practice for this sub-catchment","")</f>
        <v/>
      </c>
      <c r="F19" s="859"/>
      <c r="G19" s="859"/>
      <c r="H19" s="859"/>
    </row>
    <row r="20" spans="1:8" ht="15" customHeight="1" x14ac:dyDescent="0.25">
      <c r="A20" s="869" t="s">
        <v>374</v>
      </c>
      <c r="B20" s="869"/>
      <c r="C20" s="869"/>
      <c r="D20" s="869"/>
      <c r="E20" s="869"/>
      <c r="F20" s="869"/>
      <c r="G20" s="869"/>
      <c r="H20" s="869"/>
    </row>
    <row r="21" spans="1:8" ht="30.2" hidden="1" customHeight="1" x14ac:dyDescent="0.25">
      <c r="A21" s="868" t="s">
        <v>377</v>
      </c>
      <c r="B21" s="868"/>
      <c r="C21" s="868"/>
      <c r="D21" s="291">
        <f>IF(D19="Yes",0,0)</f>
        <v>0</v>
      </c>
      <c r="E21" s="870" t="s">
        <v>566</v>
      </c>
      <c r="F21" s="871"/>
      <c r="G21" s="872"/>
      <c r="H21" s="369"/>
    </row>
    <row r="22" spans="1:8" ht="45.2" customHeight="1" x14ac:dyDescent="0.25">
      <c r="A22" s="868" t="s">
        <v>377</v>
      </c>
      <c r="B22" s="868"/>
      <c r="C22" s="868"/>
      <c r="D22" s="291">
        <f>IF(D19="Yes",B4,0)</f>
        <v>0</v>
      </c>
      <c r="E22" s="870" t="s">
        <v>581</v>
      </c>
      <c r="F22" s="871"/>
      <c r="G22" s="872"/>
      <c r="H22" s="354" t="str">
        <f>IF(A4="","",A4)</f>
        <v/>
      </c>
    </row>
    <row r="23" spans="1:8" x14ac:dyDescent="0.25">
      <c r="A23" s="501"/>
      <c r="B23" s="156"/>
      <c r="C23" s="501"/>
      <c r="D23" s="501"/>
      <c r="E23" s="501"/>
      <c r="F23" s="501"/>
      <c r="G23" s="501"/>
      <c r="H23" s="501"/>
    </row>
    <row r="24" spans="1:8" x14ac:dyDescent="0.25">
      <c r="A24" s="501"/>
      <c r="B24" s="156"/>
      <c r="C24" s="501"/>
      <c r="D24" s="501"/>
      <c r="E24" s="501"/>
      <c r="F24" s="501"/>
      <c r="G24" s="501"/>
      <c r="H24" s="501"/>
    </row>
    <row r="25" spans="1:8" x14ac:dyDescent="0.25">
      <c r="A25" s="501"/>
      <c r="B25" s="156"/>
      <c r="C25" s="501"/>
      <c r="D25" s="501"/>
      <c r="E25" s="501"/>
      <c r="F25" s="501"/>
      <c r="G25" s="501"/>
      <c r="H25" s="501"/>
    </row>
    <row r="26" spans="1:8" x14ac:dyDescent="0.25">
      <c r="A26" s="501"/>
      <c r="B26" s="156"/>
      <c r="C26" s="501"/>
      <c r="D26" s="501"/>
      <c r="E26" s="501"/>
      <c r="F26" s="501"/>
      <c r="G26" s="501"/>
      <c r="H26" s="501"/>
    </row>
    <row r="27" spans="1:8" x14ac:dyDescent="0.25">
      <c r="A27" s="501"/>
      <c r="B27" s="156"/>
      <c r="C27" s="501"/>
      <c r="D27" s="501"/>
      <c r="E27" s="501"/>
      <c r="F27" s="501"/>
      <c r="G27" s="501"/>
      <c r="H27" s="501"/>
    </row>
    <row r="28" spans="1:8" x14ac:dyDescent="0.25">
      <c r="A28" s="561" t="s">
        <v>600</v>
      </c>
      <c r="B28" s="562" t="str">
        <f>IF('Total WQv Calculation'!$B$3="","",'Total WQv Calculation'!$B$3)</f>
        <v/>
      </c>
      <c r="C28" s="501"/>
      <c r="D28" s="501"/>
      <c r="E28" s="501"/>
      <c r="F28" s="501"/>
      <c r="G28" s="501"/>
      <c r="H28" s="501"/>
    </row>
    <row r="29" spans="1:8" x14ac:dyDescent="0.25">
      <c r="A29" s="730" t="s">
        <v>79</v>
      </c>
      <c r="B29" s="731"/>
      <c r="C29" s="731"/>
      <c r="D29" s="731"/>
      <c r="E29" s="731"/>
      <c r="F29" s="731"/>
      <c r="G29" s="731"/>
      <c r="H29" s="732"/>
    </row>
    <row r="30" spans="1:8" ht="46.7" customHeight="1" x14ac:dyDescent="0.25">
      <c r="A30" s="524" t="s">
        <v>493</v>
      </c>
      <c r="B30" s="840" t="s">
        <v>615</v>
      </c>
      <c r="C30" s="866"/>
      <c r="D30" s="730"/>
      <c r="E30" s="731"/>
      <c r="F30" s="731"/>
      <c r="G30" s="732"/>
      <c r="H30" s="524" t="s">
        <v>29</v>
      </c>
    </row>
    <row r="31" spans="1:8" ht="30" x14ac:dyDescent="0.25">
      <c r="A31" s="509"/>
      <c r="B31" s="861"/>
      <c r="C31" s="862"/>
      <c r="D31" s="863"/>
      <c r="E31" s="864"/>
      <c r="F31" s="864"/>
      <c r="G31" s="865"/>
      <c r="H31" s="177" t="s">
        <v>331</v>
      </c>
    </row>
    <row r="32" spans="1:8" x14ac:dyDescent="0.25">
      <c r="A32" s="840" t="s">
        <v>63</v>
      </c>
      <c r="B32" s="840"/>
      <c r="C32" s="840"/>
      <c r="D32" s="840"/>
      <c r="E32" s="840"/>
      <c r="F32" s="840"/>
      <c r="G32" s="840"/>
      <c r="H32" s="840"/>
    </row>
    <row r="33" spans="1:8" ht="30.2" customHeight="1" x14ac:dyDescent="0.25">
      <c r="A33" s="844" t="s">
        <v>368</v>
      </c>
      <c r="B33" s="844"/>
      <c r="C33" s="844"/>
      <c r="D33" s="95"/>
      <c r="E33" s="724" t="str">
        <f>IF(D33="Yes", "This practice is not applicable"," ")</f>
        <v xml:space="preserve"> </v>
      </c>
      <c r="F33" s="725"/>
      <c r="G33" s="725"/>
      <c r="H33" s="726"/>
    </row>
    <row r="34" spans="1:8" ht="30.2" customHeight="1" x14ac:dyDescent="0.25">
      <c r="A34" s="844" t="s">
        <v>394</v>
      </c>
      <c r="B34" s="844"/>
      <c r="C34" s="844"/>
      <c r="D34" s="509"/>
      <c r="E34" s="727"/>
      <c r="F34" s="728"/>
      <c r="G34" s="728"/>
      <c r="H34" s="729"/>
    </row>
    <row r="35" spans="1:8" ht="75.599999999999994" customHeight="1" x14ac:dyDescent="0.25">
      <c r="A35" s="723" t="s">
        <v>420</v>
      </c>
      <c r="B35" s="723"/>
      <c r="C35" s="723"/>
      <c r="D35" s="95"/>
      <c r="E35" s="523" t="s">
        <v>357</v>
      </c>
      <c r="F35" s="814" t="s">
        <v>419</v>
      </c>
      <c r="G35" s="814"/>
      <c r="H35" s="814"/>
    </row>
    <row r="36" spans="1:8" ht="30.2" customHeight="1" x14ac:dyDescent="0.25">
      <c r="A36" s="844" t="s">
        <v>395</v>
      </c>
      <c r="B36" s="844"/>
      <c r="C36" s="844"/>
      <c r="D36" s="95"/>
      <c r="E36" s="523"/>
      <c r="F36" s="814" t="str">
        <f>IF(D36="YES","cannot use this practice"," ")</f>
        <v xml:space="preserve"> </v>
      </c>
      <c r="G36" s="814"/>
      <c r="H36" s="814"/>
    </row>
    <row r="37" spans="1:8" ht="30.2" customHeight="1" x14ac:dyDescent="0.25">
      <c r="A37" s="844" t="s">
        <v>396</v>
      </c>
      <c r="B37" s="844"/>
      <c r="C37" s="844"/>
      <c r="D37" s="509"/>
      <c r="E37" s="523" t="s">
        <v>12</v>
      </c>
      <c r="F37" s="814" t="s">
        <v>397</v>
      </c>
      <c r="G37" s="814"/>
      <c r="H37" s="814"/>
    </row>
    <row r="38" spans="1:8" ht="30.2" customHeight="1" x14ac:dyDescent="0.25">
      <c r="A38" s="844" t="s">
        <v>398</v>
      </c>
      <c r="B38" s="844"/>
      <c r="C38" s="844"/>
      <c r="D38" s="509"/>
      <c r="E38" s="523" t="s">
        <v>12</v>
      </c>
      <c r="F38" s="814" t="s">
        <v>399</v>
      </c>
      <c r="G38" s="814"/>
      <c r="H38" s="814"/>
    </row>
    <row r="39" spans="1:8" ht="30.2" customHeight="1" x14ac:dyDescent="0.25">
      <c r="A39" s="844" t="s">
        <v>533</v>
      </c>
      <c r="B39" s="844"/>
      <c r="C39" s="844"/>
      <c r="D39" s="103"/>
      <c r="E39" s="523" t="s">
        <v>232</v>
      </c>
      <c r="F39" s="859" t="str">
        <f>IF(D39="","",IF(D39&gt;500,"Error:500 sf max. draining to each downspout","Okay"))</f>
        <v/>
      </c>
      <c r="G39" s="859"/>
      <c r="H39" s="859"/>
    </row>
    <row r="40" spans="1:8" ht="30.2" customHeight="1" x14ac:dyDescent="0.25">
      <c r="A40" s="844" t="s">
        <v>400</v>
      </c>
      <c r="B40" s="844"/>
      <c r="C40" s="844"/>
      <c r="D40" s="509"/>
      <c r="E40" s="523" t="s">
        <v>232</v>
      </c>
      <c r="F40" s="814" t="s">
        <v>401</v>
      </c>
      <c r="G40" s="814"/>
      <c r="H40" s="814"/>
    </row>
    <row r="41" spans="1:8" ht="30.2" customHeight="1" x14ac:dyDescent="0.25">
      <c r="A41" s="844" t="s">
        <v>402</v>
      </c>
      <c r="B41" s="844"/>
      <c r="C41" s="844"/>
      <c r="D41" s="509"/>
      <c r="E41" s="523"/>
      <c r="F41" s="814" t="s">
        <v>532</v>
      </c>
      <c r="G41" s="814"/>
      <c r="H41" s="814"/>
    </row>
    <row r="42" spans="1:8" ht="30.2" customHeight="1" x14ac:dyDescent="0.25">
      <c r="A42" s="844" t="s">
        <v>403</v>
      </c>
      <c r="B42" s="844"/>
      <c r="C42" s="844"/>
      <c r="D42" s="509"/>
      <c r="E42" s="523" t="s">
        <v>12</v>
      </c>
      <c r="F42" s="814" t="s">
        <v>404</v>
      </c>
      <c r="G42" s="814"/>
      <c r="H42" s="814"/>
    </row>
    <row r="43" spans="1:8" ht="30.2" customHeight="1" x14ac:dyDescent="0.25">
      <c r="A43" s="844" t="s">
        <v>405</v>
      </c>
      <c r="B43" s="844"/>
      <c r="C43" s="844"/>
      <c r="D43" s="509"/>
      <c r="E43" s="523" t="s">
        <v>11</v>
      </c>
      <c r="F43" s="814" t="s">
        <v>406</v>
      </c>
      <c r="G43" s="814"/>
      <c r="H43" s="814"/>
    </row>
    <row r="44" spans="1:8" ht="30.2" customHeight="1" x14ac:dyDescent="0.25">
      <c r="A44" s="844" t="s">
        <v>407</v>
      </c>
      <c r="B44" s="844"/>
      <c r="C44" s="844"/>
      <c r="D44" s="95"/>
      <c r="E44" s="727"/>
      <c r="F44" s="728"/>
      <c r="G44" s="728"/>
      <c r="H44" s="729"/>
    </row>
    <row r="45" spans="1:8" ht="30.2" hidden="1" customHeight="1" x14ac:dyDescent="0.25">
      <c r="A45" s="860"/>
      <c r="B45" s="794"/>
      <c r="C45" s="794"/>
      <c r="D45" s="223"/>
      <c r="E45" s="520"/>
      <c r="F45" s="791"/>
      <c r="G45" s="791"/>
      <c r="H45" s="791"/>
    </row>
    <row r="46" spans="1:8" ht="30.2" customHeight="1" x14ac:dyDescent="0.25">
      <c r="A46" s="867" t="s">
        <v>534</v>
      </c>
      <c r="B46" s="867"/>
      <c r="C46" s="867"/>
      <c r="D46" s="218"/>
      <c r="E46" s="859" t="str">
        <f>IF(D46="No","Disconnection of Rooftops is not an acceptable practice for this sub-catchment","")</f>
        <v/>
      </c>
      <c r="F46" s="859"/>
      <c r="G46" s="859"/>
      <c r="H46" s="859"/>
    </row>
    <row r="47" spans="1:8" x14ac:dyDescent="0.25">
      <c r="A47" s="869" t="s">
        <v>374</v>
      </c>
      <c r="B47" s="869"/>
      <c r="C47" s="869"/>
      <c r="D47" s="869"/>
      <c r="E47" s="869"/>
      <c r="F47" s="869"/>
      <c r="G47" s="869"/>
      <c r="H47" s="869"/>
    </row>
    <row r="48" spans="1:8" hidden="1" x14ac:dyDescent="0.25">
      <c r="A48" s="868" t="s">
        <v>377</v>
      </c>
      <c r="B48" s="868"/>
      <c r="C48" s="868"/>
      <c r="D48" s="291">
        <f>IF(D46="Yes",0,0)</f>
        <v>0</v>
      </c>
      <c r="E48" s="870" t="s">
        <v>566</v>
      </c>
      <c r="F48" s="871"/>
      <c r="G48" s="872"/>
      <c r="H48" s="369"/>
    </row>
    <row r="49" spans="1:8" ht="45.2" customHeight="1" x14ac:dyDescent="0.25">
      <c r="A49" s="868" t="s">
        <v>377</v>
      </c>
      <c r="B49" s="868"/>
      <c r="C49" s="868"/>
      <c r="D49" s="291">
        <f>IF(D46="Yes",B31,0)</f>
        <v>0</v>
      </c>
      <c r="E49" s="870" t="s">
        <v>581</v>
      </c>
      <c r="F49" s="871"/>
      <c r="G49" s="872"/>
      <c r="H49" s="354" t="str">
        <f>IF(A31="","",A31)</f>
        <v/>
      </c>
    </row>
    <row r="55" spans="1:8" x14ac:dyDescent="0.25">
      <c r="A55" s="561" t="s">
        <v>600</v>
      </c>
      <c r="B55" s="562" t="str">
        <f>IF('Total WQv Calculation'!$B$3="","",'Total WQv Calculation'!$B$3)</f>
        <v/>
      </c>
    </row>
    <row r="56" spans="1:8" x14ac:dyDescent="0.25">
      <c r="A56" s="730" t="s">
        <v>79</v>
      </c>
      <c r="B56" s="731"/>
      <c r="C56" s="731"/>
      <c r="D56" s="731"/>
      <c r="E56" s="731"/>
      <c r="F56" s="731"/>
      <c r="G56" s="731"/>
      <c r="H56" s="732"/>
    </row>
    <row r="57" spans="1:8" ht="46.7" customHeight="1" x14ac:dyDescent="0.25">
      <c r="A57" s="524" t="s">
        <v>493</v>
      </c>
      <c r="B57" s="840" t="s">
        <v>615</v>
      </c>
      <c r="C57" s="866"/>
      <c r="D57" s="730"/>
      <c r="E57" s="731"/>
      <c r="F57" s="731"/>
      <c r="G57" s="732"/>
      <c r="H57" s="524" t="s">
        <v>29</v>
      </c>
    </row>
    <row r="58" spans="1:8" ht="30" x14ac:dyDescent="0.25">
      <c r="A58" s="509"/>
      <c r="B58" s="861"/>
      <c r="C58" s="862"/>
      <c r="D58" s="863"/>
      <c r="E58" s="864"/>
      <c r="F58" s="864"/>
      <c r="G58" s="865"/>
      <c r="H58" s="177" t="s">
        <v>331</v>
      </c>
    </row>
    <row r="59" spans="1:8" x14ac:dyDescent="0.25">
      <c r="A59" s="840" t="s">
        <v>63</v>
      </c>
      <c r="B59" s="840"/>
      <c r="C59" s="840"/>
      <c r="D59" s="840"/>
      <c r="E59" s="840"/>
      <c r="F59" s="840"/>
      <c r="G59" s="840"/>
      <c r="H59" s="840"/>
    </row>
    <row r="60" spans="1:8" ht="30.2" customHeight="1" x14ac:dyDescent="0.25">
      <c r="A60" s="844" t="s">
        <v>368</v>
      </c>
      <c r="B60" s="844"/>
      <c r="C60" s="844"/>
      <c r="D60" s="95"/>
      <c r="E60" s="724" t="str">
        <f>IF(D60="Yes", "This practice is not applicable"," ")</f>
        <v xml:space="preserve"> </v>
      </c>
      <c r="F60" s="725"/>
      <c r="G60" s="725"/>
      <c r="H60" s="726"/>
    </row>
    <row r="61" spans="1:8" ht="30.2" customHeight="1" x14ac:dyDescent="0.25">
      <c r="A61" s="844" t="s">
        <v>394</v>
      </c>
      <c r="B61" s="844"/>
      <c r="C61" s="844"/>
      <c r="D61" s="509"/>
      <c r="E61" s="727"/>
      <c r="F61" s="728"/>
      <c r="G61" s="728"/>
      <c r="H61" s="729"/>
    </row>
    <row r="62" spans="1:8" ht="75.599999999999994" customHeight="1" x14ac:dyDescent="0.25">
      <c r="A62" s="723" t="s">
        <v>420</v>
      </c>
      <c r="B62" s="723"/>
      <c r="C62" s="723"/>
      <c r="D62" s="95"/>
      <c r="E62" s="523" t="s">
        <v>357</v>
      </c>
      <c r="F62" s="814" t="s">
        <v>419</v>
      </c>
      <c r="G62" s="814"/>
      <c r="H62" s="814"/>
    </row>
    <row r="63" spans="1:8" ht="30.2" customHeight="1" x14ac:dyDescent="0.25">
      <c r="A63" s="844" t="s">
        <v>395</v>
      </c>
      <c r="B63" s="844"/>
      <c r="C63" s="844"/>
      <c r="D63" s="95"/>
      <c r="E63" s="523"/>
      <c r="F63" s="814" t="str">
        <f>IF(D63="YES","cannot use this practice"," ")</f>
        <v xml:space="preserve"> </v>
      </c>
      <c r="G63" s="814"/>
      <c r="H63" s="814"/>
    </row>
    <row r="64" spans="1:8" ht="30.2" customHeight="1" x14ac:dyDescent="0.25">
      <c r="A64" s="844" t="s">
        <v>396</v>
      </c>
      <c r="B64" s="844"/>
      <c r="C64" s="844"/>
      <c r="D64" s="509"/>
      <c r="E64" s="523" t="s">
        <v>12</v>
      </c>
      <c r="F64" s="814" t="s">
        <v>397</v>
      </c>
      <c r="G64" s="814"/>
      <c r="H64" s="814"/>
    </row>
    <row r="65" spans="1:8" ht="30.2" customHeight="1" x14ac:dyDescent="0.25">
      <c r="A65" s="844" t="s">
        <v>398</v>
      </c>
      <c r="B65" s="844"/>
      <c r="C65" s="844"/>
      <c r="D65" s="509"/>
      <c r="E65" s="523" t="s">
        <v>12</v>
      </c>
      <c r="F65" s="814" t="s">
        <v>399</v>
      </c>
      <c r="G65" s="814"/>
      <c r="H65" s="814"/>
    </row>
    <row r="66" spans="1:8" ht="30.2" customHeight="1" x14ac:dyDescent="0.25">
      <c r="A66" s="844" t="s">
        <v>533</v>
      </c>
      <c r="B66" s="844"/>
      <c r="C66" s="844"/>
      <c r="D66" s="103"/>
      <c r="E66" s="523" t="s">
        <v>232</v>
      </c>
      <c r="F66" s="859" t="str">
        <f>IF(D66="","",IF(D66&gt;500,"Error:500 sf max. draining to each downspout","Okay"))</f>
        <v/>
      </c>
      <c r="G66" s="859"/>
      <c r="H66" s="859"/>
    </row>
    <row r="67" spans="1:8" ht="30.2" customHeight="1" x14ac:dyDescent="0.25">
      <c r="A67" s="844" t="s">
        <v>400</v>
      </c>
      <c r="B67" s="844"/>
      <c r="C67" s="844"/>
      <c r="D67" s="509"/>
      <c r="E67" s="523" t="s">
        <v>232</v>
      </c>
      <c r="F67" s="814" t="s">
        <v>401</v>
      </c>
      <c r="G67" s="814"/>
      <c r="H67" s="814"/>
    </row>
    <row r="68" spans="1:8" ht="30.2" customHeight="1" x14ac:dyDescent="0.25">
      <c r="A68" s="844" t="s">
        <v>402</v>
      </c>
      <c r="B68" s="844"/>
      <c r="C68" s="844"/>
      <c r="D68" s="509"/>
      <c r="E68" s="523"/>
      <c r="F68" s="814" t="s">
        <v>532</v>
      </c>
      <c r="G68" s="814"/>
      <c r="H68" s="814"/>
    </row>
    <row r="69" spans="1:8" ht="30.2" customHeight="1" x14ac:dyDescent="0.25">
      <c r="A69" s="844" t="s">
        <v>403</v>
      </c>
      <c r="B69" s="844"/>
      <c r="C69" s="844"/>
      <c r="D69" s="509"/>
      <c r="E69" s="523" t="s">
        <v>12</v>
      </c>
      <c r="F69" s="814" t="s">
        <v>404</v>
      </c>
      <c r="G69" s="814"/>
      <c r="H69" s="814"/>
    </row>
    <row r="70" spans="1:8" ht="30.2" customHeight="1" x14ac:dyDescent="0.25">
      <c r="A70" s="844" t="s">
        <v>405</v>
      </c>
      <c r="B70" s="844"/>
      <c r="C70" s="844"/>
      <c r="D70" s="509"/>
      <c r="E70" s="523" t="s">
        <v>11</v>
      </c>
      <c r="F70" s="814" t="s">
        <v>406</v>
      </c>
      <c r="G70" s="814"/>
      <c r="H70" s="814"/>
    </row>
    <row r="71" spans="1:8" ht="30.2" customHeight="1" x14ac:dyDescent="0.25">
      <c r="A71" s="844" t="s">
        <v>407</v>
      </c>
      <c r="B71" s="844"/>
      <c r="C71" s="844"/>
      <c r="D71" s="95"/>
      <c r="E71" s="727"/>
      <c r="F71" s="728"/>
      <c r="G71" s="728"/>
      <c r="H71" s="729"/>
    </row>
    <row r="72" spans="1:8" ht="30.2" hidden="1" customHeight="1" x14ac:dyDescent="0.25">
      <c r="A72" s="860"/>
      <c r="B72" s="794"/>
      <c r="C72" s="794"/>
      <c r="D72" s="223"/>
      <c r="E72" s="520"/>
      <c r="F72" s="791"/>
      <c r="G72" s="791"/>
      <c r="H72" s="791"/>
    </row>
    <row r="73" spans="1:8" ht="30.2" customHeight="1" x14ac:dyDescent="0.25">
      <c r="A73" s="867" t="s">
        <v>534</v>
      </c>
      <c r="B73" s="867"/>
      <c r="C73" s="867"/>
      <c r="D73" s="218"/>
      <c r="E73" s="859" t="str">
        <f>IF(D73="No","Disconnection of Rooftops is not an acceptable practice for this sub-catchment","")</f>
        <v/>
      </c>
      <c r="F73" s="859"/>
      <c r="G73" s="859"/>
      <c r="H73" s="859"/>
    </row>
    <row r="74" spans="1:8" x14ac:dyDescent="0.25">
      <c r="A74" s="869" t="s">
        <v>374</v>
      </c>
      <c r="B74" s="869"/>
      <c r="C74" s="869"/>
      <c r="D74" s="869"/>
      <c r="E74" s="869"/>
      <c r="F74" s="869"/>
      <c r="G74" s="869"/>
      <c r="H74" s="869"/>
    </row>
    <row r="75" spans="1:8" hidden="1" x14ac:dyDescent="0.25">
      <c r="A75" s="868" t="s">
        <v>377</v>
      </c>
      <c r="B75" s="868"/>
      <c r="C75" s="868"/>
      <c r="D75" s="291">
        <f>IF(D73="Yes",0,0)</f>
        <v>0</v>
      </c>
      <c r="E75" s="870" t="s">
        <v>566</v>
      </c>
      <c r="F75" s="871"/>
      <c r="G75" s="872"/>
      <c r="H75" s="369"/>
    </row>
    <row r="76" spans="1:8" ht="45.2" customHeight="1" x14ac:dyDescent="0.25">
      <c r="A76" s="868" t="s">
        <v>377</v>
      </c>
      <c r="B76" s="868"/>
      <c r="C76" s="868"/>
      <c r="D76" s="291">
        <f>IF(D73="Yes",B58,0)</f>
        <v>0</v>
      </c>
      <c r="E76" s="870" t="s">
        <v>581</v>
      </c>
      <c r="F76" s="871"/>
      <c r="G76" s="872"/>
      <c r="H76" s="354" t="str">
        <f>IF(A58="","",A58)</f>
        <v/>
      </c>
    </row>
    <row r="82" spans="1:8" x14ac:dyDescent="0.25">
      <c r="A82" s="561" t="s">
        <v>600</v>
      </c>
      <c r="B82" s="562" t="str">
        <f>IF('Total WQv Calculation'!$B$3="","",'Total WQv Calculation'!$B$3)</f>
        <v/>
      </c>
    </row>
    <row r="83" spans="1:8" x14ac:dyDescent="0.25">
      <c r="A83" s="730" t="s">
        <v>79</v>
      </c>
      <c r="B83" s="731"/>
      <c r="C83" s="731"/>
      <c r="D83" s="731"/>
      <c r="E83" s="731"/>
      <c r="F83" s="731"/>
      <c r="G83" s="731"/>
      <c r="H83" s="732"/>
    </row>
    <row r="84" spans="1:8" ht="46.7" customHeight="1" x14ac:dyDescent="0.25">
      <c r="A84" s="524" t="s">
        <v>493</v>
      </c>
      <c r="B84" s="840" t="s">
        <v>615</v>
      </c>
      <c r="C84" s="866"/>
      <c r="D84" s="730"/>
      <c r="E84" s="731"/>
      <c r="F84" s="731"/>
      <c r="G84" s="732"/>
      <c r="H84" s="524" t="s">
        <v>29</v>
      </c>
    </row>
    <row r="85" spans="1:8" ht="30" x14ac:dyDescent="0.25">
      <c r="A85" s="509"/>
      <c r="B85" s="861"/>
      <c r="C85" s="862"/>
      <c r="D85" s="863"/>
      <c r="E85" s="864"/>
      <c r="F85" s="864"/>
      <c r="G85" s="865"/>
      <c r="H85" s="177" t="s">
        <v>331</v>
      </c>
    </row>
    <row r="86" spans="1:8" x14ac:dyDescent="0.25">
      <c r="A86" s="840" t="s">
        <v>63</v>
      </c>
      <c r="B86" s="840"/>
      <c r="C86" s="840"/>
      <c r="D86" s="840"/>
      <c r="E86" s="840"/>
      <c r="F86" s="840"/>
      <c r="G86" s="840"/>
      <c r="H86" s="840"/>
    </row>
    <row r="87" spans="1:8" ht="30.2" customHeight="1" x14ac:dyDescent="0.25">
      <c r="A87" s="844" t="s">
        <v>368</v>
      </c>
      <c r="B87" s="844"/>
      <c r="C87" s="844"/>
      <c r="D87" s="95"/>
      <c r="E87" s="724" t="str">
        <f>IF(D87="Yes", "This practice is not applicable"," ")</f>
        <v xml:space="preserve"> </v>
      </c>
      <c r="F87" s="725"/>
      <c r="G87" s="725"/>
      <c r="H87" s="726"/>
    </row>
    <row r="88" spans="1:8" ht="30.2" customHeight="1" x14ac:dyDescent="0.25">
      <c r="A88" s="844" t="s">
        <v>394</v>
      </c>
      <c r="B88" s="844"/>
      <c r="C88" s="844"/>
      <c r="D88" s="509"/>
      <c r="E88" s="727"/>
      <c r="F88" s="728"/>
      <c r="G88" s="728"/>
      <c r="H88" s="729"/>
    </row>
    <row r="89" spans="1:8" ht="75.599999999999994" customHeight="1" x14ac:dyDescent="0.25">
      <c r="A89" s="723" t="s">
        <v>420</v>
      </c>
      <c r="B89" s="723"/>
      <c r="C89" s="723"/>
      <c r="D89" s="95"/>
      <c r="E89" s="523" t="s">
        <v>357</v>
      </c>
      <c r="F89" s="814" t="s">
        <v>419</v>
      </c>
      <c r="G89" s="814"/>
      <c r="H89" s="814"/>
    </row>
    <row r="90" spans="1:8" ht="30.2" customHeight="1" x14ac:dyDescent="0.25">
      <c r="A90" s="844" t="s">
        <v>395</v>
      </c>
      <c r="B90" s="844"/>
      <c r="C90" s="844"/>
      <c r="D90" s="95"/>
      <c r="E90" s="523"/>
      <c r="F90" s="814" t="str">
        <f>IF(D90="YES","cannot use this practice"," ")</f>
        <v xml:space="preserve"> </v>
      </c>
      <c r="G90" s="814"/>
      <c r="H90" s="814"/>
    </row>
    <row r="91" spans="1:8" ht="30.2" customHeight="1" x14ac:dyDescent="0.25">
      <c r="A91" s="844" t="s">
        <v>396</v>
      </c>
      <c r="B91" s="844"/>
      <c r="C91" s="844"/>
      <c r="D91" s="509"/>
      <c r="E91" s="523" t="s">
        <v>12</v>
      </c>
      <c r="F91" s="814" t="s">
        <v>397</v>
      </c>
      <c r="G91" s="814"/>
      <c r="H91" s="814"/>
    </row>
    <row r="92" spans="1:8" ht="30.2" customHeight="1" x14ac:dyDescent="0.25">
      <c r="A92" s="844" t="s">
        <v>398</v>
      </c>
      <c r="B92" s="844"/>
      <c r="C92" s="844"/>
      <c r="D92" s="509"/>
      <c r="E92" s="523" t="s">
        <v>12</v>
      </c>
      <c r="F92" s="814" t="s">
        <v>399</v>
      </c>
      <c r="G92" s="814"/>
      <c r="H92" s="814"/>
    </row>
    <row r="93" spans="1:8" ht="30.2" customHeight="1" x14ac:dyDescent="0.25">
      <c r="A93" s="844" t="s">
        <v>533</v>
      </c>
      <c r="B93" s="844"/>
      <c r="C93" s="844"/>
      <c r="D93" s="103"/>
      <c r="E93" s="523" t="s">
        <v>232</v>
      </c>
      <c r="F93" s="859" t="str">
        <f>IF(D93="","",IF(D93&gt;500,"Error:500 sf max. draining to each downspout","Okay"))</f>
        <v/>
      </c>
      <c r="G93" s="859"/>
      <c r="H93" s="859"/>
    </row>
    <row r="94" spans="1:8" ht="30.2" customHeight="1" x14ac:dyDescent="0.25">
      <c r="A94" s="844" t="s">
        <v>400</v>
      </c>
      <c r="B94" s="844"/>
      <c r="C94" s="844"/>
      <c r="D94" s="509"/>
      <c r="E94" s="523" t="s">
        <v>232</v>
      </c>
      <c r="F94" s="814" t="s">
        <v>401</v>
      </c>
      <c r="G94" s="814"/>
      <c r="H94" s="814"/>
    </row>
    <row r="95" spans="1:8" ht="30.2" customHeight="1" x14ac:dyDescent="0.25">
      <c r="A95" s="844" t="s">
        <v>402</v>
      </c>
      <c r="B95" s="844"/>
      <c r="C95" s="844"/>
      <c r="D95" s="509"/>
      <c r="E95" s="523"/>
      <c r="F95" s="814" t="s">
        <v>532</v>
      </c>
      <c r="G95" s="814"/>
      <c r="H95" s="814"/>
    </row>
    <row r="96" spans="1:8" ht="30.2" customHeight="1" x14ac:dyDescent="0.25">
      <c r="A96" s="844" t="s">
        <v>403</v>
      </c>
      <c r="B96" s="844"/>
      <c r="C96" s="844"/>
      <c r="D96" s="509"/>
      <c r="E96" s="523" t="s">
        <v>12</v>
      </c>
      <c r="F96" s="814" t="s">
        <v>404</v>
      </c>
      <c r="G96" s="814"/>
      <c r="H96" s="814"/>
    </row>
    <row r="97" spans="1:8" ht="30.2" customHeight="1" x14ac:dyDescent="0.25">
      <c r="A97" s="844" t="s">
        <v>405</v>
      </c>
      <c r="B97" s="844"/>
      <c r="C97" s="844"/>
      <c r="D97" s="509"/>
      <c r="E97" s="523" t="s">
        <v>11</v>
      </c>
      <c r="F97" s="814" t="s">
        <v>406</v>
      </c>
      <c r="G97" s="814"/>
      <c r="H97" s="814"/>
    </row>
    <row r="98" spans="1:8" ht="30.2" customHeight="1" x14ac:dyDescent="0.25">
      <c r="A98" s="844" t="s">
        <v>407</v>
      </c>
      <c r="B98" s="844"/>
      <c r="C98" s="844"/>
      <c r="D98" s="95"/>
      <c r="E98" s="727"/>
      <c r="F98" s="728"/>
      <c r="G98" s="728"/>
      <c r="H98" s="729"/>
    </row>
    <row r="99" spans="1:8" ht="30.2" hidden="1" customHeight="1" x14ac:dyDescent="0.25">
      <c r="A99" s="860"/>
      <c r="B99" s="794"/>
      <c r="C99" s="794"/>
      <c r="D99" s="223"/>
      <c r="E99" s="520"/>
      <c r="F99" s="791"/>
      <c r="G99" s="791"/>
      <c r="H99" s="791"/>
    </row>
    <row r="100" spans="1:8" ht="30.2" customHeight="1" x14ac:dyDescent="0.25">
      <c r="A100" s="867" t="s">
        <v>534</v>
      </c>
      <c r="B100" s="867"/>
      <c r="C100" s="867"/>
      <c r="D100" s="218"/>
      <c r="E100" s="859" t="str">
        <f>IF(D100="No","Disconnection of Rooftops is not an acceptable practice for this sub-catchment","")</f>
        <v/>
      </c>
      <c r="F100" s="859"/>
      <c r="G100" s="859"/>
      <c r="H100" s="859"/>
    </row>
    <row r="101" spans="1:8" x14ac:dyDescent="0.25">
      <c r="A101" s="869" t="s">
        <v>374</v>
      </c>
      <c r="B101" s="869"/>
      <c r="C101" s="869"/>
      <c r="D101" s="869"/>
      <c r="E101" s="869"/>
      <c r="F101" s="869"/>
      <c r="G101" s="869"/>
      <c r="H101" s="869"/>
    </row>
    <row r="102" spans="1:8" hidden="1" x14ac:dyDescent="0.25">
      <c r="A102" s="868" t="s">
        <v>377</v>
      </c>
      <c r="B102" s="868"/>
      <c r="C102" s="868"/>
      <c r="D102" s="291">
        <f>IF(D100="Yes",0,0)</f>
        <v>0</v>
      </c>
      <c r="E102" s="870" t="s">
        <v>566</v>
      </c>
      <c r="F102" s="871"/>
      <c r="G102" s="872"/>
      <c r="H102" s="369"/>
    </row>
    <row r="103" spans="1:8" ht="45.2" customHeight="1" x14ac:dyDescent="0.25">
      <c r="A103" s="868" t="s">
        <v>377</v>
      </c>
      <c r="B103" s="868"/>
      <c r="C103" s="868"/>
      <c r="D103" s="291">
        <f>IF(D100="Yes",B85,0)</f>
        <v>0</v>
      </c>
      <c r="E103" s="870" t="s">
        <v>581</v>
      </c>
      <c r="F103" s="871"/>
      <c r="G103" s="872"/>
      <c r="H103" s="354" t="str">
        <f>IF(A85="","",A85)</f>
        <v/>
      </c>
    </row>
  </sheetData>
  <sheetProtection password="C7D7" sheet="1" objects="1" scenarios="1" formatColumns="0" formatRows="0"/>
  <mergeCells count="156">
    <mergeCell ref="A102:C102"/>
    <mergeCell ref="E102:G102"/>
    <mergeCell ref="A103:C103"/>
    <mergeCell ref="E103:G103"/>
    <mergeCell ref="A97:C97"/>
    <mergeCell ref="F97:H97"/>
    <mergeCell ref="A98:C98"/>
    <mergeCell ref="E98:H98"/>
    <mergeCell ref="A99:C99"/>
    <mergeCell ref="F99:H99"/>
    <mergeCell ref="A100:C100"/>
    <mergeCell ref="E100:H100"/>
    <mergeCell ref="A101:H101"/>
    <mergeCell ref="A92:C92"/>
    <mergeCell ref="F92:H92"/>
    <mergeCell ref="A93:C93"/>
    <mergeCell ref="F93:H93"/>
    <mergeCell ref="A94:C94"/>
    <mergeCell ref="F94:H94"/>
    <mergeCell ref="A95:C95"/>
    <mergeCell ref="F95:H95"/>
    <mergeCell ref="A96:C96"/>
    <mergeCell ref="F96:H96"/>
    <mergeCell ref="A88:C88"/>
    <mergeCell ref="E88:H88"/>
    <mergeCell ref="A89:C89"/>
    <mergeCell ref="F89:H89"/>
    <mergeCell ref="A90:C90"/>
    <mergeCell ref="F90:H90"/>
    <mergeCell ref="A91:C91"/>
    <mergeCell ref="F91:H91"/>
    <mergeCell ref="A86:H86"/>
    <mergeCell ref="A87:C87"/>
    <mergeCell ref="E87:H87"/>
    <mergeCell ref="A56:H56"/>
    <mergeCell ref="A36:C36"/>
    <mergeCell ref="F36:H36"/>
    <mergeCell ref="A41:C41"/>
    <mergeCell ref="F41:H41"/>
    <mergeCell ref="A29:H29"/>
    <mergeCell ref="A32:H32"/>
    <mergeCell ref="A33:C33"/>
    <mergeCell ref="E33:H33"/>
    <mergeCell ref="A34:C34"/>
    <mergeCell ref="E34:H34"/>
    <mergeCell ref="A35:C35"/>
    <mergeCell ref="F35:H35"/>
    <mergeCell ref="A48:C48"/>
    <mergeCell ref="A49:C49"/>
    <mergeCell ref="A44:C44"/>
    <mergeCell ref="A45:C45"/>
    <mergeCell ref="F45:H45"/>
    <mergeCell ref="A46:C46"/>
    <mergeCell ref="E44:H44"/>
    <mergeCell ref="E46:H46"/>
    <mergeCell ref="A47:H47"/>
    <mergeCell ref="B30:C30"/>
    <mergeCell ref="A42:C42"/>
    <mergeCell ref="B57:C57"/>
    <mergeCell ref="B58:C58"/>
    <mergeCell ref="D58:G58"/>
    <mergeCell ref="A59:H59"/>
    <mergeCell ref="E60:H60"/>
    <mergeCell ref="A83:H83"/>
    <mergeCell ref="A60:C60"/>
    <mergeCell ref="A61:C61"/>
    <mergeCell ref="A62:C62"/>
    <mergeCell ref="F62:H62"/>
    <mergeCell ref="A63:C63"/>
    <mergeCell ref="E61:H61"/>
    <mergeCell ref="F63:H63"/>
    <mergeCell ref="A69:C69"/>
    <mergeCell ref="F69:H69"/>
    <mergeCell ref="A70:C70"/>
    <mergeCell ref="F70:H70"/>
    <mergeCell ref="A71:C71"/>
    <mergeCell ref="E71:H71"/>
    <mergeCell ref="A72:C72"/>
    <mergeCell ref="F72:H72"/>
    <mergeCell ref="B84:C84"/>
    <mergeCell ref="B85:C85"/>
    <mergeCell ref="D85:G85"/>
    <mergeCell ref="A64:C64"/>
    <mergeCell ref="F64:H64"/>
    <mergeCell ref="A65:C65"/>
    <mergeCell ref="A67:C67"/>
    <mergeCell ref="A68:C68"/>
    <mergeCell ref="F65:H65"/>
    <mergeCell ref="A66:C66"/>
    <mergeCell ref="F66:H66"/>
    <mergeCell ref="F67:H67"/>
    <mergeCell ref="F68:H68"/>
    <mergeCell ref="A74:H74"/>
    <mergeCell ref="A75:C75"/>
    <mergeCell ref="E75:G75"/>
    <mergeCell ref="A76:C76"/>
    <mergeCell ref="E76:G76"/>
    <mergeCell ref="A73:C73"/>
    <mergeCell ref="E73:H73"/>
    <mergeCell ref="A43:C43"/>
    <mergeCell ref="F43:H43"/>
    <mergeCell ref="E48:G48"/>
    <mergeCell ref="E49:G49"/>
    <mergeCell ref="A37:C37"/>
    <mergeCell ref="F37:H37"/>
    <mergeCell ref="A38:C38"/>
    <mergeCell ref="F38:H38"/>
    <mergeCell ref="A40:C40"/>
    <mergeCell ref="F40:H40"/>
    <mergeCell ref="A39:C39"/>
    <mergeCell ref="F39:H39"/>
    <mergeCell ref="F13:H13"/>
    <mergeCell ref="E19:H19"/>
    <mergeCell ref="A19:C19"/>
    <mergeCell ref="A21:C21"/>
    <mergeCell ref="A22:C22"/>
    <mergeCell ref="A20:H20"/>
    <mergeCell ref="E21:G21"/>
    <mergeCell ref="E22:G22"/>
    <mergeCell ref="F42:H42"/>
    <mergeCell ref="A2:H2"/>
    <mergeCell ref="A5:H5"/>
    <mergeCell ref="A6:C6"/>
    <mergeCell ref="A7:C7"/>
    <mergeCell ref="A8:C8"/>
    <mergeCell ref="F8:H8"/>
    <mergeCell ref="E6:H6"/>
    <mergeCell ref="E7:H7"/>
    <mergeCell ref="B3:C3"/>
    <mergeCell ref="B4:C4"/>
    <mergeCell ref="D4:G4"/>
    <mergeCell ref="D3:G3"/>
    <mergeCell ref="A9:C9"/>
    <mergeCell ref="F9:H9"/>
    <mergeCell ref="A10:C10"/>
    <mergeCell ref="F10:H10"/>
    <mergeCell ref="A11:C11"/>
    <mergeCell ref="F11:H11"/>
    <mergeCell ref="D30:G30"/>
    <mergeCell ref="D57:G57"/>
    <mergeCell ref="D84:G84"/>
    <mergeCell ref="A12:C12"/>
    <mergeCell ref="F12:H12"/>
    <mergeCell ref="E17:H17"/>
    <mergeCell ref="A18:C18"/>
    <mergeCell ref="F18:H18"/>
    <mergeCell ref="A17:C17"/>
    <mergeCell ref="A14:C14"/>
    <mergeCell ref="F14:H14"/>
    <mergeCell ref="A15:C15"/>
    <mergeCell ref="F15:H15"/>
    <mergeCell ref="A16:C16"/>
    <mergeCell ref="F16:H16"/>
    <mergeCell ref="B31:C31"/>
    <mergeCell ref="D31:G31"/>
    <mergeCell ref="A13:C13"/>
  </mergeCells>
  <dataValidations count="3">
    <dataValidation type="list" showInputMessage="1" showErrorMessage="1" promptTitle="Yes or No?" sqref="D100 D89:D90 D98 D87 D73 D62:D63 D71 D60 D46 D35:D36 D44 D33 D6 D17 D8:D9 D19">
      <formula1>YesNo</formula1>
    </dataValidation>
    <dataValidation type="list" allowBlank="1" showInputMessage="1" showErrorMessage="1" sqref="D88 D61 D34 D7">
      <formula1>SoilType</formula1>
    </dataValidation>
    <dataValidation type="list" showInputMessage="1" showErrorMessage="1" promptTitle="Choose Area" sqref="A85 A58 A31 A4">
      <formula1>CatchNo</formula1>
    </dataValidation>
  </dataValidations>
  <pageMargins left="0.7" right="0.7" top="0.75" bottom="0.75" header="0.3" footer="0.3"/>
  <pageSetup orientation="portrait" r:id="rId1"/>
  <headerFooter>
    <oddHeader xml:space="preserve">&amp;C&amp;18Disconnection of Roof Tops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17"/>
  <sheetViews>
    <sheetView view="pageLayout" zoomScaleNormal="100" workbookViewId="0">
      <selection activeCell="A4" sqref="A4"/>
    </sheetView>
  </sheetViews>
  <sheetFormatPr defaultColWidth="9.140625" defaultRowHeight="15" x14ac:dyDescent="0.25"/>
  <cols>
    <col min="1" max="2" width="12.7109375" style="5" customWidth="1"/>
    <col min="3" max="3" width="11.42578125" style="5" customWidth="1"/>
    <col min="4" max="4" width="10.7109375" style="5" customWidth="1"/>
    <col min="5" max="5" width="6.42578125" style="5" customWidth="1"/>
    <col min="6" max="6" width="8.5703125" style="5" customWidth="1"/>
    <col min="7" max="7" width="12.140625" style="5" customWidth="1"/>
    <col min="8" max="8" width="15.28515625" style="5" customWidth="1"/>
    <col min="9" max="9" width="21.140625" style="5" bestFit="1" customWidth="1"/>
    <col min="10" max="10" width="8.42578125" style="5" customWidth="1"/>
    <col min="11" max="14" width="9.140625" style="5" customWidth="1"/>
    <col min="15" max="16384" width="9.140625" style="5"/>
  </cols>
  <sheetData>
    <row r="1" spans="1:8" s="413" customFormat="1" ht="15" customHeight="1" x14ac:dyDescent="0.25">
      <c r="A1" s="428" t="s">
        <v>600</v>
      </c>
      <c r="B1" s="426" t="str">
        <f>IF('Total WQv Calculation'!$B$3="","",'Total WQv Calculation'!$B$3)</f>
        <v/>
      </c>
    </row>
    <row r="2" spans="1:8" ht="15" customHeight="1" x14ac:dyDescent="0.25">
      <c r="A2" s="804" t="s">
        <v>79</v>
      </c>
      <c r="B2" s="893"/>
      <c r="C2" s="893"/>
      <c r="D2" s="893"/>
      <c r="E2" s="893"/>
      <c r="F2" s="893"/>
      <c r="G2" s="893"/>
      <c r="H2" s="894"/>
    </row>
    <row r="3" spans="1:8" ht="46.7" customHeight="1" x14ac:dyDescent="0.25">
      <c r="A3" s="504" t="s">
        <v>493</v>
      </c>
      <c r="B3" s="505" t="s">
        <v>610</v>
      </c>
      <c r="C3" s="578" t="s">
        <v>611</v>
      </c>
      <c r="D3" s="505" t="s">
        <v>612</v>
      </c>
      <c r="E3" s="505" t="s">
        <v>7</v>
      </c>
      <c r="F3" s="505" t="s">
        <v>613</v>
      </c>
      <c r="G3" s="505" t="s">
        <v>614</v>
      </c>
      <c r="H3" s="506" t="s">
        <v>29</v>
      </c>
    </row>
    <row r="4" spans="1:8" ht="30.2" customHeight="1" x14ac:dyDescent="0.25">
      <c r="A4" s="213"/>
      <c r="B4" s="576" t="str">
        <f>IF($A4="","",(LOOKUP($A4,'Catchment Summary Table'!$A$4:$A$33,'Catchment Summary Table'!$B$4:$B$33)))</f>
        <v/>
      </c>
      <c r="C4" s="576" t="str">
        <f>IF($A4="","",(LOOKUP($A4,'Catchment Summary Table'!$A$4:$A$33,'Catchment Summary Table'!$C$4:$C$33)))</f>
        <v/>
      </c>
      <c r="D4" s="576" t="str">
        <f>IF($A4="","",(LOOKUP($A4,'Catchment Summary Table'!$A$4:$A$33,'Catchment Summary Table'!$D$4:$D$33)))</f>
        <v/>
      </c>
      <c r="E4" s="576" t="str">
        <f>IF($A4="","",(LOOKUP($A4,'Catchment Summary Table'!$A$4:$A$33,'Catchment Summary Table'!$E$4:$E$33)))</f>
        <v/>
      </c>
      <c r="F4" s="576" t="str">
        <f>IF($A4="","",(LOOKUP($A4,'Catchment Summary Table'!$A$4:$A$33,'Catchment Summary Table'!$F$4:$F$33)))</f>
        <v/>
      </c>
      <c r="G4" s="576" t="str">
        <f>IF(B4="","",IFERROR('Total WQv Calculation'!$B$4,""))</f>
        <v/>
      </c>
      <c r="H4" s="546" t="str">
        <f>IF($A4="","",(LOOKUP($A4,'Catchment Summary Table'!$A$4:$A$33,'Catchment Summary Table'!$G$4:$G$33)))</f>
        <v/>
      </c>
    </row>
    <row r="5" spans="1:8" ht="30.2" customHeight="1" x14ac:dyDescent="0.25">
      <c r="A5" s="895" t="s">
        <v>549</v>
      </c>
      <c r="B5" s="896"/>
      <c r="C5" s="292"/>
      <c r="D5" s="240" t="str">
        <f>IF(ISERROR((C4-C5)/B4),"",(C4-C5)/B4)</f>
        <v/>
      </c>
      <c r="E5" s="188" t="str">
        <f>IF(ISERROR(D5*100*0.009+0.05),"",(D5*100*0.009+0.05))</f>
        <v/>
      </c>
      <c r="F5" s="293" t="str">
        <f>IF(ISERROR(E5*B4*G4/12*43560 ),"",(E5*B4*G4/12*43560 ))</f>
        <v/>
      </c>
      <c r="G5" s="897" t="s">
        <v>550</v>
      </c>
      <c r="H5" s="898"/>
    </row>
    <row r="6" spans="1:8" ht="15" customHeight="1" x14ac:dyDescent="0.25">
      <c r="A6" s="645" t="s">
        <v>308</v>
      </c>
      <c r="B6" s="645"/>
      <c r="C6" s="645"/>
      <c r="D6" s="645"/>
      <c r="E6" s="645"/>
      <c r="F6" s="645" t="s">
        <v>543</v>
      </c>
      <c r="G6" s="645"/>
      <c r="H6" s="645"/>
    </row>
    <row r="7" spans="1:8" ht="15" customHeight="1" x14ac:dyDescent="0.25">
      <c r="A7" s="752" t="s">
        <v>62</v>
      </c>
      <c r="B7" s="752"/>
      <c r="C7" s="752"/>
      <c r="D7" s="270" t="str">
        <f>IF(ISERROR(F5*0.1), "",F5*0.1)</f>
        <v/>
      </c>
      <c r="E7" s="69" t="s">
        <v>207</v>
      </c>
      <c r="F7" s="754"/>
      <c r="G7" s="754"/>
      <c r="H7" s="754"/>
    </row>
    <row r="8" spans="1:8" x14ac:dyDescent="0.25">
      <c r="A8" s="645" t="s">
        <v>107</v>
      </c>
      <c r="B8" s="645"/>
      <c r="C8" s="645"/>
      <c r="D8" s="645"/>
      <c r="E8" s="645"/>
      <c r="F8" s="645"/>
      <c r="G8" s="645"/>
      <c r="H8" s="645"/>
    </row>
    <row r="9" spans="1:8" ht="45.2" customHeight="1" x14ac:dyDescent="0.25">
      <c r="A9" s="242" t="s">
        <v>10</v>
      </c>
      <c r="B9" s="353"/>
      <c r="C9" s="154" t="s">
        <v>12</v>
      </c>
      <c r="D9" s="652" t="s">
        <v>246</v>
      </c>
      <c r="E9" s="899"/>
      <c r="F9" s="899"/>
      <c r="G9" s="899"/>
      <c r="H9" s="653"/>
    </row>
    <row r="10" spans="1:8" ht="45.2" customHeight="1" x14ac:dyDescent="0.25">
      <c r="A10" s="242" t="s">
        <v>307</v>
      </c>
      <c r="B10" s="353"/>
      <c r="C10" s="160" t="str">
        <f>IF(B10="","",IF(B10&lt;2,"Exceeds maximum side slope","Okay"))</f>
        <v/>
      </c>
      <c r="D10" s="900" t="s">
        <v>248</v>
      </c>
      <c r="E10" s="900"/>
      <c r="F10" s="900"/>
      <c r="G10" s="900"/>
      <c r="H10" s="900"/>
    </row>
    <row r="11" spans="1:8" ht="30.2" customHeight="1" x14ac:dyDescent="0.25">
      <c r="A11" s="242" t="s">
        <v>134</v>
      </c>
      <c r="B11" s="68"/>
      <c r="C11" s="160" t="str">
        <f>IF(B11="","",IF(B11&gt;4%,"Exceeds Maximum Slope","Okay"))</f>
        <v/>
      </c>
      <c r="D11" s="760" t="s">
        <v>305</v>
      </c>
      <c r="E11" s="760"/>
      <c r="F11" s="760"/>
      <c r="G11" s="760"/>
      <c r="H11" s="760"/>
    </row>
    <row r="12" spans="1:8" ht="45.2" customHeight="1" x14ac:dyDescent="0.25">
      <c r="A12" s="242" t="s">
        <v>479</v>
      </c>
      <c r="B12" s="353"/>
      <c r="C12" s="154" t="s">
        <v>12</v>
      </c>
      <c r="D12" s="892" t="s">
        <v>247</v>
      </c>
      <c r="E12" s="892"/>
      <c r="F12" s="892"/>
      <c r="G12" s="892"/>
      <c r="H12" s="892"/>
    </row>
    <row r="13" spans="1:8" s="33" customFormat="1" ht="15" customHeight="1" x14ac:dyDescent="0.25">
      <c r="A13" s="242" t="s">
        <v>72</v>
      </c>
      <c r="B13" s="158">
        <f>+B9+(2*B10)*B12</f>
        <v>0</v>
      </c>
      <c r="C13" s="159" t="s">
        <v>12</v>
      </c>
      <c r="D13" s="885"/>
      <c r="E13" s="886"/>
      <c r="F13" s="886"/>
      <c r="G13" s="886"/>
      <c r="H13" s="887"/>
    </row>
    <row r="14" spans="1:8" x14ac:dyDescent="0.25">
      <c r="A14" s="242" t="s">
        <v>4</v>
      </c>
      <c r="B14" s="148">
        <f>+(B13+B9)*B12/2</f>
        <v>0</v>
      </c>
      <c r="C14" s="159" t="s">
        <v>232</v>
      </c>
      <c r="D14" s="888"/>
      <c r="E14" s="786"/>
      <c r="F14" s="786"/>
      <c r="G14" s="786"/>
      <c r="H14" s="889"/>
    </row>
    <row r="15" spans="1:8" s="33" customFormat="1" ht="30.2" customHeight="1" x14ac:dyDescent="0.25">
      <c r="A15" s="242" t="s">
        <v>304</v>
      </c>
      <c r="B15" s="57" t="str">
        <f>IF(ISERROR(+(F5-D7)/B14),"",+(F5-D7)/B14)</f>
        <v/>
      </c>
      <c r="C15" s="159" t="s">
        <v>12</v>
      </c>
      <c r="D15" s="888"/>
      <c r="E15" s="786"/>
      <c r="F15" s="786"/>
      <c r="G15" s="786"/>
      <c r="H15" s="889"/>
    </row>
    <row r="16" spans="1:8" s="33" customFormat="1" ht="15" customHeight="1" x14ac:dyDescent="0.25">
      <c r="A16" s="189" t="s">
        <v>191</v>
      </c>
      <c r="B16" s="190"/>
      <c r="C16" s="191" t="s">
        <v>12</v>
      </c>
      <c r="D16" s="890"/>
      <c r="E16" s="647"/>
      <c r="F16" s="647"/>
      <c r="G16" s="647"/>
      <c r="H16" s="891"/>
    </row>
    <row r="17" spans="1:10" s="33" customFormat="1" ht="30.2" customHeight="1" x14ac:dyDescent="0.25">
      <c r="A17" s="242" t="s">
        <v>306</v>
      </c>
      <c r="B17" s="76"/>
      <c r="C17" s="157" t="str">
        <f>IF(B17="","",IF(B17&lt;=1.5,"Okay","exceeds maximum depth"))</f>
        <v/>
      </c>
      <c r="D17" s="760" t="s">
        <v>552</v>
      </c>
      <c r="E17" s="760"/>
      <c r="F17" s="760"/>
      <c r="G17" s="760"/>
      <c r="H17" s="760"/>
    </row>
    <row r="18" spans="1:10" ht="30.2" customHeight="1" x14ac:dyDescent="0.25">
      <c r="A18" s="242" t="s">
        <v>245</v>
      </c>
      <c r="B18" s="270" t="str">
        <f>IF(ISERROR(+B16*B14+D7),"",+B16*B14+D7)</f>
        <v/>
      </c>
      <c r="C18" s="159" t="s">
        <v>207</v>
      </c>
      <c r="D18" s="892"/>
      <c r="E18" s="892"/>
      <c r="F18" s="892"/>
      <c r="G18" s="892"/>
      <c r="H18" s="892"/>
    </row>
    <row r="19" spans="1:10" ht="15" customHeight="1" x14ac:dyDescent="0.25">
      <c r="A19" s="677" t="s">
        <v>369</v>
      </c>
      <c r="B19" s="845"/>
      <c r="C19" s="678"/>
      <c r="D19" s="149"/>
      <c r="E19" s="874"/>
      <c r="F19" s="875"/>
      <c r="G19" s="875"/>
      <c r="H19" s="876"/>
    </row>
    <row r="20" spans="1:10" x14ac:dyDescent="0.25">
      <c r="A20" s="642" t="s">
        <v>32</v>
      </c>
      <c r="B20" s="643"/>
      <c r="C20" s="643"/>
      <c r="D20" s="643"/>
      <c r="E20" s="643"/>
      <c r="F20" s="643"/>
      <c r="G20" s="643"/>
      <c r="H20" s="644"/>
    </row>
    <row r="21" spans="1:10" s="243" customFormat="1" ht="30.2" customHeight="1" x14ac:dyDescent="0.25">
      <c r="A21" s="877" t="s">
        <v>559</v>
      </c>
      <c r="B21" s="878"/>
      <c r="C21" s="879"/>
      <c r="D21" s="353"/>
      <c r="E21" s="776" t="s">
        <v>560</v>
      </c>
      <c r="F21" s="777"/>
      <c r="G21" s="880"/>
      <c r="H21" s="881"/>
    </row>
    <row r="22" spans="1:10" ht="30.2" customHeight="1" x14ac:dyDescent="0.25">
      <c r="A22" s="187" t="s">
        <v>23</v>
      </c>
      <c r="B22" s="247" t="str">
        <f>IF(D19="","",IF(IF(D19="A",B18*0.4,IF(D19="B",B18*0.4,B18*0.2))&gt;F5,F5,IF(D19="A",B18*0.4,IF(D19="B",B18*0.4,B18*0.2))))</f>
        <v/>
      </c>
      <c r="C22" s="176" t="s">
        <v>249</v>
      </c>
      <c r="D22" s="882" t="s">
        <v>607</v>
      </c>
      <c r="E22" s="883"/>
      <c r="F22" s="883"/>
      <c r="G22" s="883"/>
      <c r="H22" s="884"/>
    </row>
    <row r="23" spans="1:10" ht="30.2" customHeight="1" x14ac:dyDescent="0.25">
      <c r="A23" s="153" t="s">
        <v>243</v>
      </c>
      <c r="B23" s="270" t="str">
        <f>IF(ISERROR(IF(D21="Yes",0,F5-B22)),"",IF(D21="Yes",0,F5-B22))</f>
        <v/>
      </c>
      <c r="C23" s="159" t="s">
        <v>207</v>
      </c>
      <c r="D23" s="873" t="s">
        <v>408</v>
      </c>
      <c r="E23" s="873"/>
      <c r="F23" s="873"/>
      <c r="G23" s="873"/>
      <c r="H23" s="873"/>
      <c r="J23" s="33"/>
    </row>
    <row r="24" spans="1:10" ht="30.2" customHeight="1" x14ac:dyDescent="0.25">
      <c r="A24" s="308" t="s">
        <v>568</v>
      </c>
      <c r="B24" s="270" t="str">
        <f>IF(ISERROR(F5-B22-B23),"",(F5-B22-B23))</f>
        <v/>
      </c>
      <c r="C24" s="159" t="s">
        <v>207</v>
      </c>
      <c r="D24" s="762" t="s">
        <v>548</v>
      </c>
      <c r="E24" s="762"/>
      <c r="F24" s="762"/>
      <c r="G24" s="762"/>
      <c r="H24" s="762"/>
    </row>
    <row r="25" spans="1:10" ht="15" customHeight="1" x14ac:dyDescent="0.25">
      <c r="A25" s="152" t="s">
        <v>313</v>
      </c>
      <c r="B25" s="22" t="str">
        <f>IF(B18&gt;=F5,"Okay","Error")</f>
        <v>Okay</v>
      </c>
      <c r="C25" s="152"/>
      <c r="D25" s="873" t="s">
        <v>423</v>
      </c>
      <c r="E25" s="873"/>
      <c r="F25" s="873"/>
      <c r="G25" s="873"/>
      <c r="H25" s="873"/>
    </row>
    <row r="26" spans="1:10" s="413" customFormat="1" ht="15" customHeight="1" x14ac:dyDescent="0.25">
      <c r="A26" s="410"/>
      <c r="B26" s="415"/>
      <c r="C26" s="414"/>
      <c r="D26" s="429"/>
      <c r="E26" s="429"/>
      <c r="F26" s="429"/>
      <c r="G26" s="429"/>
      <c r="H26" s="430"/>
    </row>
    <row r="29" spans="1:10" ht="15" customHeight="1" x14ac:dyDescent="0.25">
      <c r="A29" s="428" t="s">
        <v>600</v>
      </c>
      <c r="B29" s="426" t="str">
        <f>IF('Total WQv Calculation'!$B$3="","",'Total WQv Calculation'!$B$3)</f>
        <v/>
      </c>
      <c r="C29" s="471"/>
      <c r="D29" s="471"/>
      <c r="E29" s="471"/>
      <c r="F29" s="471"/>
      <c r="G29" s="471"/>
      <c r="H29" s="471"/>
    </row>
    <row r="30" spans="1:10" ht="15" customHeight="1" x14ac:dyDescent="0.25">
      <c r="A30" s="804" t="s">
        <v>79</v>
      </c>
      <c r="B30" s="893"/>
      <c r="C30" s="893"/>
      <c r="D30" s="893"/>
      <c r="E30" s="893"/>
      <c r="F30" s="893"/>
      <c r="G30" s="893"/>
      <c r="H30" s="894"/>
    </row>
    <row r="31" spans="1:10" ht="46.7" customHeight="1" x14ac:dyDescent="0.25">
      <c r="A31" s="504" t="s">
        <v>493</v>
      </c>
      <c r="B31" s="505" t="s">
        <v>610</v>
      </c>
      <c r="C31" s="578" t="s">
        <v>611</v>
      </c>
      <c r="D31" s="505" t="s">
        <v>612</v>
      </c>
      <c r="E31" s="505" t="s">
        <v>7</v>
      </c>
      <c r="F31" s="505" t="s">
        <v>613</v>
      </c>
      <c r="G31" s="505" t="s">
        <v>614</v>
      </c>
      <c r="H31" s="506" t="s">
        <v>29</v>
      </c>
    </row>
    <row r="32" spans="1:10" ht="30.2" customHeight="1" x14ac:dyDescent="0.25">
      <c r="A32" s="213"/>
      <c r="B32" s="576" t="str">
        <f>IF($A32="","",(LOOKUP($A32,'Catchment Summary Table'!$A$4:$A$33,'Catchment Summary Table'!$B$4:$B$33)))</f>
        <v/>
      </c>
      <c r="C32" s="576" t="str">
        <f>IF($A32="","",(LOOKUP($A32,'Catchment Summary Table'!$A$4:$A$33,'Catchment Summary Table'!$C$4:$C$33)))</f>
        <v/>
      </c>
      <c r="D32" s="576" t="str">
        <f>IF($A32="","",(LOOKUP($A32,'Catchment Summary Table'!$A$4:$A$33,'Catchment Summary Table'!$D$4:$D$33)))</f>
        <v/>
      </c>
      <c r="E32" s="576" t="str">
        <f>IF($A32="","",(LOOKUP($A32,'Catchment Summary Table'!$A$4:$A$33,'Catchment Summary Table'!$E$4:$E$33)))</f>
        <v/>
      </c>
      <c r="F32" s="576" t="str">
        <f>IF($A32="","",(LOOKUP($A32,'Catchment Summary Table'!$A$4:$A$33,'Catchment Summary Table'!$F$4:$F$33)))</f>
        <v/>
      </c>
      <c r="G32" s="576" t="str">
        <f>IF(B32="","",IFERROR('Total WQv Calculation'!$B$4,""))</f>
        <v/>
      </c>
      <c r="H32" s="546" t="str">
        <f>IF($A32="","",(LOOKUP($A32,'Catchment Summary Table'!$A$4:$A$33,'Catchment Summary Table'!$G$4:$G$33)))</f>
        <v/>
      </c>
    </row>
    <row r="33" spans="1:8" ht="30.2" customHeight="1" x14ac:dyDescent="0.25">
      <c r="A33" s="895" t="s">
        <v>549</v>
      </c>
      <c r="B33" s="896"/>
      <c r="C33" s="292"/>
      <c r="D33" s="240" t="str">
        <f>IF(ISERROR((C32-C33)/B32),"",(C32-C33)/B32)</f>
        <v/>
      </c>
      <c r="E33" s="188" t="str">
        <f>IF(ISERROR(D33*100*0.009+0.05),"",(D33*100*0.009+0.05))</f>
        <v/>
      </c>
      <c r="F33" s="293" t="str">
        <f>IF(ISERROR(E33*B32*G32/12*43560 ),"",(E33*B32*G32/12*43560 ))</f>
        <v/>
      </c>
      <c r="G33" s="897" t="s">
        <v>550</v>
      </c>
      <c r="H33" s="898"/>
    </row>
    <row r="34" spans="1:8" ht="15" customHeight="1" x14ac:dyDescent="0.25">
      <c r="A34" s="645" t="s">
        <v>308</v>
      </c>
      <c r="B34" s="645"/>
      <c r="C34" s="645"/>
      <c r="D34" s="645"/>
      <c r="E34" s="645"/>
      <c r="F34" s="645" t="s">
        <v>543</v>
      </c>
      <c r="G34" s="645"/>
      <c r="H34" s="645"/>
    </row>
    <row r="35" spans="1:8" ht="15" customHeight="1" x14ac:dyDescent="0.25">
      <c r="A35" s="752" t="s">
        <v>62</v>
      </c>
      <c r="B35" s="752"/>
      <c r="C35" s="752"/>
      <c r="D35" s="469" t="str">
        <f>IF(ISERROR(F33*0.1), "",F33*0.1)</f>
        <v/>
      </c>
      <c r="E35" s="482" t="s">
        <v>207</v>
      </c>
      <c r="F35" s="754"/>
      <c r="G35" s="754"/>
      <c r="H35" s="754"/>
    </row>
    <row r="36" spans="1:8" ht="15" customHeight="1" x14ac:dyDescent="0.25">
      <c r="A36" s="645" t="s">
        <v>107</v>
      </c>
      <c r="B36" s="645"/>
      <c r="C36" s="645"/>
      <c r="D36" s="645"/>
      <c r="E36" s="645"/>
      <c r="F36" s="645"/>
      <c r="G36" s="645"/>
      <c r="H36" s="645"/>
    </row>
    <row r="37" spans="1:8" ht="45.2" customHeight="1" x14ac:dyDescent="0.25">
      <c r="A37" s="462" t="s">
        <v>10</v>
      </c>
      <c r="B37" s="467"/>
      <c r="C37" s="461" t="s">
        <v>12</v>
      </c>
      <c r="D37" s="652" t="s">
        <v>246</v>
      </c>
      <c r="E37" s="899"/>
      <c r="F37" s="899"/>
      <c r="G37" s="899"/>
      <c r="H37" s="653"/>
    </row>
    <row r="38" spans="1:8" ht="45.2" customHeight="1" x14ac:dyDescent="0.25">
      <c r="A38" s="462" t="s">
        <v>307</v>
      </c>
      <c r="B38" s="467"/>
      <c r="C38" s="486" t="str">
        <f>IF(B38="","",IF(B38&lt;2,"Exceeds maximum side slope","Okay"))</f>
        <v/>
      </c>
      <c r="D38" s="900" t="s">
        <v>248</v>
      </c>
      <c r="E38" s="900"/>
      <c r="F38" s="900"/>
      <c r="G38" s="900"/>
      <c r="H38" s="900"/>
    </row>
    <row r="39" spans="1:8" ht="30.2" customHeight="1" x14ac:dyDescent="0.25">
      <c r="A39" s="462" t="s">
        <v>134</v>
      </c>
      <c r="B39" s="68"/>
      <c r="C39" s="486" t="str">
        <f>IF(B39="","",IF(B39&gt;4%,"Exceeds Maximum Slope","Okay"))</f>
        <v/>
      </c>
      <c r="D39" s="760" t="s">
        <v>305</v>
      </c>
      <c r="E39" s="760"/>
      <c r="F39" s="760"/>
      <c r="G39" s="760"/>
      <c r="H39" s="760"/>
    </row>
    <row r="40" spans="1:8" ht="45.2" customHeight="1" x14ac:dyDescent="0.25">
      <c r="A40" s="462" t="s">
        <v>479</v>
      </c>
      <c r="B40" s="467"/>
      <c r="C40" s="461" t="s">
        <v>12</v>
      </c>
      <c r="D40" s="892" t="s">
        <v>247</v>
      </c>
      <c r="E40" s="892"/>
      <c r="F40" s="892"/>
      <c r="G40" s="892"/>
      <c r="H40" s="892"/>
    </row>
    <row r="41" spans="1:8" ht="15" customHeight="1" x14ac:dyDescent="0.25">
      <c r="A41" s="462" t="s">
        <v>72</v>
      </c>
      <c r="B41" s="481">
        <f>+B37+(2*B38)*B40</f>
        <v>0</v>
      </c>
      <c r="C41" s="473" t="s">
        <v>12</v>
      </c>
      <c r="D41" s="885"/>
      <c r="E41" s="886"/>
      <c r="F41" s="886"/>
      <c r="G41" s="886"/>
      <c r="H41" s="887"/>
    </row>
    <row r="42" spans="1:8" ht="15" customHeight="1" x14ac:dyDescent="0.25">
      <c r="A42" s="462" t="s">
        <v>4</v>
      </c>
      <c r="B42" s="148">
        <f>+(B41+B37)*B40/2</f>
        <v>0</v>
      </c>
      <c r="C42" s="473" t="s">
        <v>232</v>
      </c>
      <c r="D42" s="888"/>
      <c r="E42" s="786"/>
      <c r="F42" s="786"/>
      <c r="G42" s="786"/>
      <c r="H42" s="889"/>
    </row>
    <row r="43" spans="1:8" ht="30.2" customHeight="1" x14ac:dyDescent="0.25">
      <c r="A43" s="462" t="s">
        <v>304</v>
      </c>
      <c r="B43" s="57" t="str">
        <f>IF(ISERROR(+(F33-D35)/B42),"",+(F33-D35)/B42)</f>
        <v/>
      </c>
      <c r="C43" s="473" t="s">
        <v>12</v>
      </c>
      <c r="D43" s="888"/>
      <c r="E43" s="786"/>
      <c r="F43" s="786"/>
      <c r="G43" s="786"/>
      <c r="H43" s="889"/>
    </row>
    <row r="44" spans="1:8" ht="15" customHeight="1" x14ac:dyDescent="0.25">
      <c r="A44" s="189" t="s">
        <v>191</v>
      </c>
      <c r="B44" s="190"/>
      <c r="C44" s="487" t="s">
        <v>12</v>
      </c>
      <c r="D44" s="890"/>
      <c r="E44" s="647"/>
      <c r="F44" s="647"/>
      <c r="G44" s="647"/>
      <c r="H44" s="891"/>
    </row>
    <row r="45" spans="1:8" ht="30.2" customHeight="1" x14ac:dyDescent="0.25">
      <c r="A45" s="462" t="s">
        <v>306</v>
      </c>
      <c r="B45" s="76"/>
      <c r="C45" s="477" t="str">
        <f>IF(B45="","",IF(B45&lt;=1.5,"Okay","exceeds maximum depth"))</f>
        <v/>
      </c>
      <c r="D45" s="760" t="s">
        <v>552</v>
      </c>
      <c r="E45" s="760"/>
      <c r="F45" s="760"/>
      <c r="G45" s="760"/>
      <c r="H45" s="760"/>
    </row>
    <row r="46" spans="1:8" ht="30.2" customHeight="1" x14ac:dyDescent="0.25">
      <c r="A46" s="462" t="s">
        <v>245</v>
      </c>
      <c r="B46" s="469" t="str">
        <f>IF(ISERROR(+B44*B42+D35),"",+B44*B42+D35)</f>
        <v/>
      </c>
      <c r="C46" s="473" t="s">
        <v>207</v>
      </c>
      <c r="D46" s="892"/>
      <c r="E46" s="892"/>
      <c r="F46" s="892"/>
      <c r="G46" s="892"/>
      <c r="H46" s="892"/>
    </row>
    <row r="47" spans="1:8" ht="15" customHeight="1" x14ac:dyDescent="0.25">
      <c r="A47" s="677" t="s">
        <v>369</v>
      </c>
      <c r="B47" s="845"/>
      <c r="C47" s="678"/>
      <c r="D47" s="495"/>
      <c r="E47" s="874"/>
      <c r="F47" s="875"/>
      <c r="G47" s="875"/>
      <c r="H47" s="876"/>
    </row>
    <row r="48" spans="1:8" ht="15" customHeight="1" x14ac:dyDescent="0.25">
      <c r="A48" s="642" t="s">
        <v>32</v>
      </c>
      <c r="B48" s="643"/>
      <c r="C48" s="643"/>
      <c r="D48" s="643"/>
      <c r="E48" s="643"/>
      <c r="F48" s="643"/>
      <c r="G48" s="643"/>
      <c r="H48" s="644"/>
    </row>
    <row r="49" spans="1:8" ht="30.2" customHeight="1" x14ac:dyDescent="0.25">
      <c r="A49" s="877" t="s">
        <v>559</v>
      </c>
      <c r="B49" s="878"/>
      <c r="C49" s="879"/>
      <c r="D49" s="467"/>
      <c r="E49" s="776" t="s">
        <v>560</v>
      </c>
      <c r="F49" s="777"/>
      <c r="G49" s="880"/>
      <c r="H49" s="881"/>
    </row>
    <row r="50" spans="1:8" ht="30.2" customHeight="1" x14ac:dyDescent="0.25">
      <c r="A50" s="460" t="s">
        <v>23</v>
      </c>
      <c r="B50" s="247" t="str">
        <f>IF(D47="","",IF(IF(D47="A",B46*0.4,IF(D47="B",B46*0.4,B46*0.2))&gt;F33,F33,IF(D47="A",B46*0.4,IF(D47="B",B46*0.4,B46*0.2))))</f>
        <v/>
      </c>
      <c r="C50" s="484" t="s">
        <v>249</v>
      </c>
      <c r="D50" s="882" t="s">
        <v>607</v>
      </c>
      <c r="E50" s="883"/>
      <c r="F50" s="883"/>
      <c r="G50" s="883"/>
      <c r="H50" s="884"/>
    </row>
    <row r="51" spans="1:8" ht="30.2" customHeight="1" x14ac:dyDescent="0.25">
      <c r="A51" s="462" t="s">
        <v>243</v>
      </c>
      <c r="B51" s="469" t="str">
        <f>IF(ISERROR(IF(D49="Yes",0,F33-B50)),"",IF(D49="Yes",0,F33-B50))</f>
        <v/>
      </c>
      <c r="C51" s="473" t="s">
        <v>207</v>
      </c>
      <c r="D51" s="873" t="s">
        <v>408</v>
      </c>
      <c r="E51" s="873"/>
      <c r="F51" s="873"/>
      <c r="G51" s="873"/>
      <c r="H51" s="873"/>
    </row>
    <row r="52" spans="1:8" ht="30.2" customHeight="1" x14ac:dyDescent="0.25">
      <c r="A52" s="459" t="s">
        <v>568</v>
      </c>
      <c r="B52" s="469" t="str">
        <f>IF(ISERROR(F33-B50-B51),"",(F33-B50-B51))</f>
        <v/>
      </c>
      <c r="C52" s="473" t="s">
        <v>207</v>
      </c>
      <c r="D52" s="762" t="s">
        <v>548</v>
      </c>
      <c r="E52" s="762"/>
      <c r="F52" s="762"/>
      <c r="G52" s="762"/>
      <c r="H52" s="762"/>
    </row>
    <row r="53" spans="1:8" ht="15" customHeight="1" x14ac:dyDescent="0.25">
      <c r="A53" s="192" t="s">
        <v>313</v>
      </c>
      <c r="B53" s="572" t="str">
        <f>IF(B46&gt;=F33,"Okay","Error")</f>
        <v>Okay</v>
      </c>
      <c r="C53" s="479"/>
      <c r="D53" s="873" t="s">
        <v>423</v>
      </c>
      <c r="E53" s="873"/>
      <c r="F53" s="873"/>
      <c r="G53" s="873"/>
      <c r="H53" s="873"/>
    </row>
    <row r="54" spans="1:8" s="471" customFormat="1" ht="15" customHeight="1" x14ac:dyDescent="0.25">
      <c r="A54" s="204"/>
      <c r="B54" s="573"/>
      <c r="D54" s="485"/>
      <c r="E54" s="485"/>
      <c r="F54" s="485"/>
      <c r="G54" s="485"/>
      <c r="H54" s="485"/>
    </row>
    <row r="55" spans="1:8" s="471" customFormat="1" ht="15" customHeight="1" x14ac:dyDescent="0.25">
      <c r="B55" s="468"/>
      <c r="D55" s="485"/>
      <c r="E55" s="485"/>
      <c r="F55" s="485"/>
      <c r="G55" s="485"/>
      <c r="H55" s="485"/>
    </row>
    <row r="56" spans="1:8" s="471" customFormat="1" ht="15" customHeight="1" x14ac:dyDescent="0.25">
      <c r="B56" s="468"/>
      <c r="D56" s="485"/>
      <c r="E56" s="485"/>
      <c r="F56" s="485"/>
      <c r="G56" s="485"/>
      <c r="H56" s="485"/>
    </row>
    <row r="57" spans="1:8" ht="15" customHeight="1" x14ac:dyDescent="0.25">
      <c r="A57" s="428" t="s">
        <v>600</v>
      </c>
      <c r="B57" s="426" t="str">
        <f>IF('Total WQv Calculation'!$B$3="","",'Total WQv Calculation'!$B$3)</f>
        <v/>
      </c>
      <c r="C57" s="471"/>
      <c r="D57" s="471"/>
      <c r="E57" s="471"/>
      <c r="F57" s="471"/>
      <c r="G57" s="471"/>
      <c r="H57" s="471"/>
    </row>
    <row r="58" spans="1:8" ht="15" customHeight="1" x14ac:dyDescent="0.25">
      <c r="A58" s="804" t="s">
        <v>79</v>
      </c>
      <c r="B58" s="893"/>
      <c r="C58" s="893"/>
      <c r="D58" s="893"/>
      <c r="E58" s="893"/>
      <c r="F58" s="893"/>
      <c r="G58" s="893"/>
      <c r="H58" s="894"/>
    </row>
    <row r="59" spans="1:8" ht="46.7" customHeight="1" x14ac:dyDescent="0.25">
      <c r="A59" s="504" t="s">
        <v>493</v>
      </c>
      <c r="B59" s="505" t="s">
        <v>610</v>
      </c>
      <c r="C59" s="578" t="s">
        <v>611</v>
      </c>
      <c r="D59" s="505" t="s">
        <v>612</v>
      </c>
      <c r="E59" s="505" t="s">
        <v>7</v>
      </c>
      <c r="F59" s="505" t="s">
        <v>613</v>
      </c>
      <c r="G59" s="505" t="s">
        <v>614</v>
      </c>
      <c r="H59" s="506" t="s">
        <v>29</v>
      </c>
    </row>
    <row r="60" spans="1:8" ht="30.2" customHeight="1" x14ac:dyDescent="0.25">
      <c r="A60" s="213"/>
      <c r="B60" s="576" t="str">
        <f>IF($A60="","",(LOOKUP($A60,'Catchment Summary Table'!$A$4:$A$33,'Catchment Summary Table'!$B$4:$B$33)))</f>
        <v/>
      </c>
      <c r="C60" s="576" t="str">
        <f>IF($A60="","",(LOOKUP($A60,'Catchment Summary Table'!$A$4:$A$33,'Catchment Summary Table'!$C$4:$C$33)))</f>
        <v/>
      </c>
      <c r="D60" s="576" t="str">
        <f>IF($A60="","",(LOOKUP($A60,'Catchment Summary Table'!$A$4:$A$33,'Catchment Summary Table'!$D$4:$D$33)))</f>
        <v/>
      </c>
      <c r="E60" s="576" t="str">
        <f>IF($A60="","",(LOOKUP($A60,'Catchment Summary Table'!$A$4:$A$33,'Catchment Summary Table'!$E$4:$E$33)))</f>
        <v/>
      </c>
      <c r="F60" s="576" t="str">
        <f>IF($A60="","",(LOOKUP($A60,'Catchment Summary Table'!$A$4:$A$33,'Catchment Summary Table'!$F$4:$F$33)))</f>
        <v/>
      </c>
      <c r="G60" s="576" t="str">
        <f>IF(B60="","",IFERROR('Total WQv Calculation'!$B$4,""))</f>
        <v/>
      </c>
      <c r="H60" s="546" t="str">
        <f>IF($A60="","",(LOOKUP($A60,'Catchment Summary Table'!$A$4:$A$33,'Catchment Summary Table'!$G$4:$G$33)))</f>
        <v/>
      </c>
    </row>
    <row r="61" spans="1:8" ht="30.2" customHeight="1" x14ac:dyDescent="0.25">
      <c r="A61" s="895" t="s">
        <v>549</v>
      </c>
      <c r="B61" s="896"/>
      <c r="C61" s="292"/>
      <c r="D61" s="240" t="str">
        <f>IF(ISERROR((C60-C61)/B60),"",(C60-C61)/B60)</f>
        <v/>
      </c>
      <c r="E61" s="188" t="str">
        <f>IF(ISERROR(D61*100*0.009+0.05),"",(D61*100*0.009+0.05))</f>
        <v/>
      </c>
      <c r="F61" s="293" t="str">
        <f>IF(ISERROR(E61*B60*G60/12*43560 ),"",(E61*B60*G60/12*43560 ))</f>
        <v/>
      </c>
      <c r="G61" s="897" t="s">
        <v>550</v>
      </c>
      <c r="H61" s="898"/>
    </row>
    <row r="62" spans="1:8" ht="15" customHeight="1" x14ac:dyDescent="0.25">
      <c r="A62" s="645" t="s">
        <v>308</v>
      </c>
      <c r="B62" s="645"/>
      <c r="C62" s="645"/>
      <c r="D62" s="645"/>
      <c r="E62" s="645"/>
      <c r="F62" s="645" t="s">
        <v>543</v>
      </c>
      <c r="G62" s="645"/>
      <c r="H62" s="645"/>
    </row>
    <row r="63" spans="1:8" ht="15" customHeight="1" x14ac:dyDescent="0.25">
      <c r="A63" s="752" t="s">
        <v>62</v>
      </c>
      <c r="B63" s="752"/>
      <c r="C63" s="752"/>
      <c r="D63" s="469" t="str">
        <f>IF(ISERROR(F61*0.1), "",F61*0.1)</f>
        <v/>
      </c>
      <c r="E63" s="482" t="s">
        <v>207</v>
      </c>
      <c r="F63" s="754"/>
      <c r="G63" s="754"/>
      <c r="H63" s="754"/>
    </row>
    <row r="64" spans="1:8" ht="15" customHeight="1" x14ac:dyDescent="0.25">
      <c r="A64" s="645" t="s">
        <v>107</v>
      </c>
      <c r="B64" s="645"/>
      <c r="C64" s="645"/>
      <c r="D64" s="645"/>
      <c r="E64" s="645"/>
      <c r="F64" s="645"/>
      <c r="G64" s="645"/>
      <c r="H64" s="645"/>
    </row>
    <row r="65" spans="1:8" ht="45.2" customHeight="1" x14ac:dyDescent="0.25">
      <c r="A65" s="462" t="s">
        <v>10</v>
      </c>
      <c r="B65" s="467"/>
      <c r="C65" s="461" t="s">
        <v>12</v>
      </c>
      <c r="D65" s="652" t="s">
        <v>246</v>
      </c>
      <c r="E65" s="899"/>
      <c r="F65" s="899"/>
      <c r="G65" s="899"/>
      <c r="H65" s="653"/>
    </row>
    <row r="66" spans="1:8" ht="45.2" customHeight="1" x14ac:dyDescent="0.25">
      <c r="A66" s="462" t="s">
        <v>307</v>
      </c>
      <c r="B66" s="467"/>
      <c r="C66" s="486" t="str">
        <f>IF(B66="","",IF(B66&lt;2,"Exceeds maximum side slope","Okay"))</f>
        <v/>
      </c>
      <c r="D66" s="900" t="s">
        <v>248</v>
      </c>
      <c r="E66" s="900"/>
      <c r="F66" s="900"/>
      <c r="G66" s="900"/>
      <c r="H66" s="900"/>
    </row>
    <row r="67" spans="1:8" ht="30.2" customHeight="1" x14ac:dyDescent="0.25">
      <c r="A67" s="462" t="s">
        <v>134</v>
      </c>
      <c r="B67" s="68"/>
      <c r="C67" s="486" t="str">
        <f>IF(B67="","",IF(B67&gt;4%,"Exceeds Maximum Slope","Okay"))</f>
        <v/>
      </c>
      <c r="D67" s="760" t="s">
        <v>305</v>
      </c>
      <c r="E67" s="760"/>
      <c r="F67" s="760"/>
      <c r="G67" s="760"/>
      <c r="H67" s="760"/>
    </row>
    <row r="68" spans="1:8" ht="45.2" customHeight="1" x14ac:dyDescent="0.25">
      <c r="A68" s="462" t="s">
        <v>479</v>
      </c>
      <c r="B68" s="467"/>
      <c r="C68" s="461" t="s">
        <v>12</v>
      </c>
      <c r="D68" s="892" t="s">
        <v>247</v>
      </c>
      <c r="E68" s="892"/>
      <c r="F68" s="892"/>
      <c r="G68" s="892"/>
      <c r="H68" s="892"/>
    </row>
    <row r="69" spans="1:8" ht="15" customHeight="1" x14ac:dyDescent="0.25">
      <c r="A69" s="462" t="s">
        <v>72</v>
      </c>
      <c r="B69" s="481">
        <f>+B65+(2*B66)*B68</f>
        <v>0</v>
      </c>
      <c r="C69" s="473" t="s">
        <v>12</v>
      </c>
      <c r="D69" s="885"/>
      <c r="E69" s="886"/>
      <c r="F69" s="886"/>
      <c r="G69" s="886"/>
      <c r="H69" s="887"/>
    </row>
    <row r="70" spans="1:8" ht="15" customHeight="1" x14ac:dyDescent="0.25">
      <c r="A70" s="462" t="s">
        <v>4</v>
      </c>
      <c r="B70" s="148">
        <f>+(B69+B65)*B68/2</f>
        <v>0</v>
      </c>
      <c r="C70" s="473" t="s">
        <v>232</v>
      </c>
      <c r="D70" s="888"/>
      <c r="E70" s="786"/>
      <c r="F70" s="786"/>
      <c r="G70" s="786"/>
      <c r="H70" s="889"/>
    </row>
    <row r="71" spans="1:8" ht="30.2" customHeight="1" x14ac:dyDescent="0.25">
      <c r="A71" s="462" t="s">
        <v>304</v>
      </c>
      <c r="B71" s="57" t="str">
        <f>IF(ISERROR(+(F61-D63)/B70),"",+(F61-D63)/B70)</f>
        <v/>
      </c>
      <c r="C71" s="473" t="s">
        <v>12</v>
      </c>
      <c r="D71" s="888"/>
      <c r="E71" s="786"/>
      <c r="F71" s="786"/>
      <c r="G71" s="786"/>
      <c r="H71" s="889"/>
    </row>
    <row r="72" spans="1:8" ht="15" customHeight="1" x14ac:dyDescent="0.25">
      <c r="A72" s="189" t="s">
        <v>191</v>
      </c>
      <c r="B72" s="190"/>
      <c r="C72" s="487" t="s">
        <v>12</v>
      </c>
      <c r="D72" s="890"/>
      <c r="E72" s="647"/>
      <c r="F72" s="647"/>
      <c r="G72" s="647"/>
      <c r="H72" s="891"/>
    </row>
    <row r="73" spans="1:8" ht="30.2" customHeight="1" x14ac:dyDescent="0.25">
      <c r="A73" s="462" t="s">
        <v>306</v>
      </c>
      <c r="B73" s="76"/>
      <c r="C73" s="477" t="str">
        <f>IF(B73="","",IF(B73&lt;=1.5,"Okay","exceeds maximum depth"))</f>
        <v/>
      </c>
      <c r="D73" s="760" t="s">
        <v>552</v>
      </c>
      <c r="E73" s="760"/>
      <c r="F73" s="760"/>
      <c r="G73" s="760"/>
      <c r="H73" s="760"/>
    </row>
    <row r="74" spans="1:8" ht="30.2" customHeight="1" x14ac:dyDescent="0.25">
      <c r="A74" s="462" t="s">
        <v>245</v>
      </c>
      <c r="B74" s="469" t="str">
        <f>IF(ISERROR(+B72*B70+D63),"",+B72*B70+D63)</f>
        <v/>
      </c>
      <c r="C74" s="473" t="s">
        <v>207</v>
      </c>
      <c r="D74" s="892"/>
      <c r="E74" s="892"/>
      <c r="F74" s="892"/>
      <c r="G74" s="892"/>
      <c r="H74" s="892"/>
    </row>
    <row r="75" spans="1:8" ht="15" customHeight="1" x14ac:dyDescent="0.25">
      <c r="A75" s="677" t="s">
        <v>369</v>
      </c>
      <c r="B75" s="845"/>
      <c r="C75" s="678"/>
      <c r="D75" s="495"/>
      <c r="E75" s="874"/>
      <c r="F75" s="875"/>
      <c r="G75" s="875"/>
      <c r="H75" s="876"/>
    </row>
    <row r="76" spans="1:8" ht="15" customHeight="1" x14ac:dyDescent="0.25">
      <c r="A76" s="642" t="s">
        <v>32</v>
      </c>
      <c r="B76" s="643"/>
      <c r="C76" s="643"/>
      <c r="D76" s="643"/>
      <c r="E76" s="643"/>
      <c r="F76" s="643"/>
      <c r="G76" s="643"/>
      <c r="H76" s="644"/>
    </row>
    <row r="77" spans="1:8" ht="30.2" customHeight="1" x14ac:dyDescent="0.25">
      <c r="A77" s="877" t="s">
        <v>559</v>
      </c>
      <c r="B77" s="878"/>
      <c r="C77" s="879"/>
      <c r="D77" s="467"/>
      <c r="E77" s="776" t="s">
        <v>560</v>
      </c>
      <c r="F77" s="777"/>
      <c r="G77" s="880"/>
      <c r="H77" s="881"/>
    </row>
    <row r="78" spans="1:8" ht="30.2" customHeight="1" x14ac:dyDescent="0.25">
      <c r="A78" s="460" t="s">
        <v>23</v>
      </c>
      <c r="B78" s="247" t="str">
        <f>IF(D75="","",IF(IF(D75="A",B74*0.4,IF(D75="B",B74*0.4,B74*0.2))&gt;F61,F61,IF(D75="A",B74*0.4,IF(D75="B",B74*0.4,B74*0.2))))</f>
        <v/>
      </c>
      <c r="C78" s="484" t="s">
        <v>249</v>
      </c>
      <c r="D78" s="882" t="s">
        <v>607</v>
      </c>
      <c r="E78" s="883"/>
      <c r="F78" s="883"/>
      <c r="G78" s="883"/>
      <c r="H78" s="884"/>
    </row>
    <row r="79" spans="1:8" ht="30.2" customHeight="1" x14ac:dyDescent="0.25">
      <c r="A79" s="462" t="s">
        <v>243</v>
      </c>
      <c r="B79" s="469" t="str">
        <f>IF(ISERROR(IF(D77="Yes",0,F61-B78)),"",IF(D77="Yes",0,F61-B78))</f>
        <v/>
      </c>
      <c r="C79" s="473" t="s">
        <v>207</v>
      </c>
      <c r="D79" s="873" t="s">
        <v>408</v>
      </c>
      <c r="E79" s="873"/>
      <c r="F79" s="873"/>
      <c r="G79" s="873"/>
      <c r="H79" s="873"/>
    </row>
    <row r="80" spans="1:8" ht="30.2" customHeight="1" x14ac:dyDescent="0.25">
      <c r="A80" s="459" t="s">
        <v>568</v>
      </c>
      <c r="B80" s="469" t="str">
        <f>IF(ISERROR(F61-B78-B79),"",(F61-B78-B79))</f>
        <v/>
      </c>
      <c r="C80" s="473" t="s">
        <v>207</v>
      </c>
      <c r="D80" s="762" t="s">
        <v>548</v>
      </c>
      <c r="E80" s="762"/>
      <c r="F80" s="762"/>
      <c r="G80" s="762"/>
      <c r="H80" s="762"/>
    </row>
    <row r="81" spans="1:8" ht="15" customHeight="1" x14ac:dyDescent="0.25">
      <c r="A81" s="479" t="s">
        <v>313</v>
      </c>
      <c r="B81" s="483" t="str">
        <f>IF(B74&gt;=F61,"Okay","Error")</f>
        <v>Okay</v>
      </c>
      <c r="C81" s="479"/>
      <c r="D81" s="873" t="s">
        <v>423</v>
      </c>
      <c r="E81" s="873"/>
      <c r="F81" s="873"/>
      <c r="G81" s="873"/>
      <c r="H81" s="873"/>
    </row>
    <row r="85" spans="1:8" x14ac:dyDescent="0.25">
      <c r="A85" s="428" t="s">
        <v>600</v>
      </c>
      <c r="B85" s="426" t="str">
        <f>IF('Total WQv Calculation'!$B$3="","",'Total WQv Calculation'!$B$3)</f>
        <v/>
      </c>
      <c r="C85" s="471"/>
      <c r="D85" s="471"/>
      <c r="E85" s="471"/>
      <c r="F85" s="471"/>
      <c r="G85" s="471"/>
      <c r="H85" s="471"/>
    </row>
    <row r="86" spans="1:8" x14ac:dyDescent="0.25">
      <c r="A86" s="804" t="s">
        <v>79</v>
      </c>
      <c r="B86" s="893"/>
      <c r="C86" s="893"/>
      <c r="D86" s="893"/>
      <c r="E86" s="893"/>
      <c r="F86" s="893"/>
      <c r="G86" s="893"/>
      <c r="H86" s="894"/>
    </row>
    <row r="87" spans="1:8" ht="46.7" customHeight="1" x14ac:dyDescent="0.25">
      <c r="A87" s="504" t="s">
        <v>493</v>
      </c>
      <c r="B87" s="505" t="s">
        <v>610</v>
      </c>
      <c r="C87" s="578" t="s">
        <v>611</v>
      </c>
      <c r="D87" s="505" t="s">
        <v>612</v>
      </c>
      <c r="E87" s="505" t="s">
        <v>7</v>
      </c>
      <c r="F87" s="505" t="s">
        <v>613</v>
      </c>
      <c r="G87" s="505" t="s">
        <v>614</v>
      </c>
      <c r="H87" s="506" t="s">
        <v>29</v>
      </c>
    </row>
    <row r="88" spans="1:8" ht="30.2" customHeight="1" x14ac:dyDescent="0.25">
      <c r="A88" s="213"/>
      <c r="B88" s="576" t="str">
        <f>IF($A88="","",(LOOKUP($A88,'Catchment Summary Table'!$A$4:$A$33,'Catchment Summary Table'!$B$4:$B$33)))</f>
        <v/>
      </c>
      <c r="C88" s="576" t="str">
        <f>IF($A88="","",(LOOKUP($A88,'Catchment Summary Table'!$A$4:$A$33,'Catchment Summary Table'!$C$4:$C$33)))</f>
        <v/>
      </c>
      <c r="D88" s="576" t="str">
        <f>IF($A88="","",(LOOKUP($A88,'Catchment Summary Table'!$A$4:$A$33,'Catchment Summary Table'!$D$4:$D$33)))</f>
        <v/>
      </c>
      <c r="E88" s="576" t="str">
        <f>IF($A88="","",(LOOKUP($A88,'Catchment Summary Table'!$A$4:$A$33,'Catchment Summary Table'!$E$4:$E$33)))</f>
        <v/>
      </c>
      <c r="F88" s="576" t="str">
        <f>IF($A88="","",(LOOKUP($A88,'Catchment Summary Table'!$A$4:$A$33,'Catchment Summary Table'!$F$4:$F$33)))</f>
        <v/>
      </c>
      <c r="G88" s="576" t="str">
        <f>IF(B88="","",IFERROR('Total WQv Calculation'!$B$4,""))</f>
        <v/>
      </c>
      <c r="H88" s="546" t="str">
        <f>IF($A88="","",(LOOKUP($A88,'Catchment Summary Table'!$A$4:$A$33,'Catchment Summary Table'!$G$4:$G$33)))</f>
        <v/>
      </c>
    </row>
    <row r="89" spans="1:8" ht="30.2" customHeight="1" x14ac:dyDescent="0.25">
      <c r="A89" s="895" t="s">
        <v>549</v>
      </c>
      <c r="B89" s="896"/>
      <c r="C89" s="292"/>
      <c r="D89" s="240" t="str">
        <f>IF(ISERROR((C88-C89)/B88),"",(C88-C89)/B88)</f>
        <v/>
      </c>
      <c r="E89" s="188" t="str">
        <f>IF(ISERROR(D89*100*0.009+0.05),"",(D89*100*0.009+0.05))</f>
        <v/>
      </c>
      <c r="F89" s="293" t="str">
        <f>IF(ISERROR(E89*B88*G88/12*43560 ),"",(E89*B88*G88/12*43560 ))</f>
        <v/>
      </c>
      <c r="G89" s="897" t="s">
        <v>550</v>
      </c>
      <c r="H89" s="898"/>
    </row>
    <row r="90" spans="1:8" ht="15" customHeight="1" x14ac:dyDescent="0.25">
      <c r="A90" s="645" t="s">
        <v>308</v>
      </c>
      <c r="B90" s="645"/>
      <c r="C90" s="645"/>
      <c r="D90" s="645"/>
      <c r="E90" s="645"/>
      <c r="F90" s="645" t="s">
        <v>543</v>
      </c>
      <c r="G90" s="645"/>
      <c r="H90" s="645"/>
    </row>
    <row r="91" spans="1:8" ht="15" customHeight="1" x14ac:dyDescent="0.25">
      <c r="A91" s="752" t="s">
        <v>62</v>
      </c>
      <c r="B91" s="752"/>
      <c r="C91" s="752"/>
      <c r="D91" s="469" t="str">
        <f>IF(ISERROR(F89*0.1), "",F89*0.1)</f>
        <v/>
      </c>
      <c r="E91" s="482" t="s">
        <v>207</v>
      </c>
      <c r="F91" s="754"/>
      <c r="G91" s="754"/>
      <c r="H91" s="754"/>
    </row>
    <row r="92" spans="1:8" ht="15" customHeight="1" x14ac:dyDescent="0.25">
      <c r="A92" s="645" t="s">
        <v>107</v>
      </c>
      <c r="B92" s="645"/>
      <c r="C92" s="645"/>
      <c r="D92" s="645"/>
      <c r="E92" s="645"/>
      <c r="F92" s="645"/>
      <c r="G92" s="645"/>
      <c r="H92" s="645"/>
    </row>
    <row r="93" spans="1:8" ht="45.2" customHeight="1" x14ac:dyDescent="0.25">
      <c r="A93" s="462" t="s">
        <v>10</v>
      </c>
      <c r="B93" s="467"/>
      <c r="C93" s="461" t="s">
        <v>12</v>
      </c>
      <c r="D93" s="652" t="s">
        <v>246</v>
      </c>
      <c r="E93" s="899"/>
      <c r="F93" s="899"/>
      <c r="G93" s="899"/>
      <c r="H93" s="653"/>
    </row>
    <row r="94" spans="1:8" ht="45.2" customHeight="1" x14ac:dyDescent="0.25">
      <c r="A94" s="462" t="s">
        <v>307</v>
      </c>
      <c r="B94" s="467"/>
      <c r="C94" s="486" t="str">
        <f>IF(B94="","",IF(B94&lt;2,"Exceeds maximum side slope","Okay"))</f>
        <v/>
      </c>
      <c r="D94" s="900" t="s">
        <v>248</v>
      </c>
      <c r="E94" s="900"/>
      <c r="F94" s="900"/>
      <c r="G94" s="900"/>
      <c r="H94" s="900"/>
    </row>
    <row r="95" spans="1:8" ht="30.2" customHeight="1" x14ac:dyDescent="0.25">
      <c r="A95" s="462" t="s">
        <v>134</v>
      </c>
      <c r="B95" s="68"/>
      <c r="C95" s="486" t="str">
        <f>IF(B95="","",IF(B95&gt;4%,"Exceeds Maximum Slope","Okay"))</f>
        <v/>
      </c>
      <c r="D95" s="760" t="s">
        <v>305</v>
      </c>
      <c r="E95" s="760"/>
      <c r="F95" s="760"/>
      <c r="G95" s="760"/>
      <c r="H95" s="760"/>
    </row>
    <row r="96" spans="1:8" ht="45.2" customHeight="1" x14ac:dyDescent="0.25">
      <c r="A96" s="462" t="s">
        <v>479</v>
      </c>
      <c r="B96" s="467"/>
      <c r="C96" s="461" t="s">
        <v>12</v>
      </c>
      <c r="D96" s="892" t="s">
        <v>247</v>
      </c>
      <c r="E96" s="892"/>
      <c r="F96" s="892"/>
      <c r="G96" s="892"/>
      <c r="H96" s="892"/>
    </row>
    <row r="97" spans="1:8" ht="15" customHeight="1" x14ac:dyDescent="0.25">
      <c r="A97" s="462" t="s">
        <v>72</v>
      </c>
      <c r="B97" s="481">
        <f>+B93+(2*B94)*B96</f>
        <v>0</v>
      </c>
      <c r="C97" s="473" t="s">
        <v>12</v>
      </c>
      <c r="D97" s="885"/>
      <c r="E97" s="886"/>
      <c r="F97" s="886"/>
      <c r="G97" s="886"/>
      <c r="H97" s="887"/>
    </row>
    <row r="98" spans="1:8" ht="15" customHeight="1" x14ac:dyDescent="0.25">
      <c r="A98" s="462" t="s">
        <v>4</v>
      </c>
      <c r="B98" s="148">
        <f>+(B97+B93)*B96/2</f>
        <v>0</v>
      </c>
      <c r="C98" s="473" t="s">
        <v>232</v>
      </c>
      <c r="D98" s="888"/>
      <c r="E98" s="786"/>
      <c r="F98" s="786"/>
      <c r="G98" s="786"/>
      <c r="H98" s="889"/>
    </row>
    <row r="99" spans="1:8" ht="30.2" customHeight="1" x14ac:dyDescent="0.25">
      <c r="A99" s="462" t="s">
        <v>304</v>
      </c>
      <c r="B99" s="57" t="str">
        <f>IF(ISERROR(+(F89-D91)/B98),"",+(F89-D91)/B98)</f>
        <v/>
      </c>
      <c r="C99" s="473" t="s">
        <v>12</v>
      </c>
      <c r="D99" s="888"/>
      <c r="E99" s="786"/>
      <c r="F99" s="786"/>
      <c r="G99" s="786"/>
      <c r="H99" s="889"/>
    </row>
    <row r="100" spans="1:8" ht="15" customHeight="1" x14ac:dyDescent="0.25">
      <c r="A100" s="189" t="s">
        <v>191</v>
      </c>
      <c r="B100" s="190"/>
      <c r="C100" s="487" t="s">
        <v>12</v>
      </c>
      <c r="D100" s="890"/>
      <c r="E100" s="647"/>
      <c r="F100" s="647"/>
      <c r="G100" s="647"/>
      <c r="H100" s="891"/>
    </row>
    <row r="101" spans="1:8" ht="30.2" customHeight="1" x14ac:dyDescent="0.25">
      <c r="A101" s="462" t="s">
        <v>306</v>
      </c>
      <c r="B101" s="76"/>
      <c r="C101" s="477" t="str">
        <f>IF(B101="","",IF(B101&lt;=1.5,"Okay","exceeds maximum depth"))</f>
        <v/>
      </c>
      <c r="D101" s="760" t="s">
        <v>552</v>
      </c>
      <c r="E101" s="760"/>
      <c r="F101" s="760"/>
      <c r="G101" s="760"/>
      <c r="H101" s="760"/>
    </row>
    <row r="102" spans="1:8" ht="30.2" customHeight="1" x14ac:dyDescent="0.25">
      <c r="A102" s="462" t="s">
        <v>245</v>
      </c>
      <c r="B102" s="469" t="str">
        <f>IF(ISERROR(+B100*B98+D91),"",+B100*B98+D91)</f>
        <v/>
      </c>
      <c r="C102" s="473" t="s">
        <v>207</v>
      </c>
      <c r="D102" s="892"/>
      <c r="E102" s="892"/>
      <c r="F102" s="892"/>
      <c r="G102" s="892"/>
      <c r="H102" s="892"/>
    </row>
    <row r="103" spans="1:8" ht="15" customHeight="1" x14ac:dyDescent="0.25">
      <c r="A103" s="677" t="s">
        <v>369</v>
      </c>
      <c r="B103" s="845"/>
      <c r="C103" s="678"/>
      <c r="D103" s="495"/>
      <c r="E103" s="874"/>
      <c r="F103" s="875"/>
      <c r="G103" s="875"/>
      <c r="H103" s="876"/>
    </row>
    <row r="104" spans="1:8" ht="15" customHeight="1" x14ac:dyDescent="0.25">
      <c r="A104" s="642" t="s">
        <v>32</v>
      </c>
      <c r="B104" s="643"/>
      <c r="C104" s="643"/>
      <c r="D104" s="643"/>
      <c r="E104" s="643"/>
      <c r="F104" s="643"/>
      <c r="G104" s="643"/>
      <c r="H104" s="644"/>
    </row>
    <row r="105" spans="1:8" ht="30.2" customHeight="1" x14ac:dyDescent="0.25">
      <c r="A105" s="877" t="s">
        <v>559</v>
      </c>
      <c r="B105" s="878"/>
      <c r="C105" s="879"/>
      <c r="D105" s="467"/>
      <c r="E105" s="776" t="s">
        <v>560</v>
      </c>
      <c r="F105" s="777"/>
      <c r="G105" s="880"/>
      <c r="H105" s="881"/>
    </row>
    <row r="106" spans="1:8" ht="30.2" customHeight="1" x14ac:dyDescent="0.25">
      <c r="A106" s="460" t="s">
        <v>23</v>
      </c>
      <c r="B106" s="247" t="str">
        <f>IF(D103="","",IF(IF(D103="A",B102*0.4,IF(D103="B",B102*0.4,B102*0.2))&gt;F89,F89,IF(D103="A",B102*0.4,IF(D103="B",B102*0.4,B102*0.2))))</f>
        <v/>
      </c>
      <c r="C106" s="484" t="s">
        <v>249</v>
      </c>
      <c r="D106" s="882" t="s">
        <v>607</v>
      </c>
      <c r="E106" s="883"/>
      <c r="F106" s="883"/>
      <c r="G106" s="883"/>
      <c r="H106" s="884"/>
    </row>
    <row r="107" spans="1:8" ht="30.2" customHeight="1" x14ac:dyDescent="0.25">
      <c r="A107" s="462" t="s">
        <v>243</v>
      </c>
      <c r="B107" s="469" t="str">
        <f>IF(ISERROR(IF(D105="Yes",0,F89-B106)),"",IF(D105="Yes",0,F89-B106))</f>
        <v/>
      </c>
      <c r="C107" s="473" t="s">
        <v>207</v>
      </c>
      <c r="D107" s="873" t="s">
        <v>408</v>
      </c>
      <c r="E107" s="873"/>
      <c r="F107" s="873"/>
      <c r="G107" s="873"/>
      <c r="H107" s="873"/>
    </row>
    <row r="108" spans="1:8" ht="30.2" customHeight="1" x14ac:dyDescent="0.25">
      <c r="A108" s="459" t="s">
        <v>568</v>
      </c>
      <c r="B108" s="469" t="str">
        <f>IF(ISERROR(F89-B106-B107),"",(F89-B106-B107))</f>
        <v/>
      </c>
      <c r="C108" s="473" t="s">
        <v>207</v>
      </c>
      <c r="D108" s="762" t="s">
        <v>548</v>
      </c>
      <c r="E108" s="762"/>
      <c r="F108" s="762"/>
      <c r="G108" s="762"/>
      <c r="H108" s="762"/>
    </row>
    <row r="109" spans="1:8" ht="15" customHeight="1" x14ac:dyDescent="0.25">
      <c r="A109" s="479" t="s">
        <v>313</v>
      </c>
      <c r="B109" s="483" t="str">
        <f>IF(B102&gt;=F89,"Okay","Error")</f>
        <v>Okay</v>
      </c>
      <c r="C109" s="479"/>
      <c r="D109" s="873" t="s">
        <v>423</v>
      </c>
      <c r="E109" s="873"/>
      <c r="F109" s="873"/>
      <c r="G109" s="873"/>
      <c r="H109" s="873"/>
    </row>
    <row r="110" spans="1:8" ht="15" customHeight="1" x14ac:dyDescent="0.25"/>
    <row r="113" spans="1:4" ht="15" customHeight="1" x14ac:dyDescent="0.25">
      <c r="A113" s="901" t="s">
        <v>517</v>
      </c>
      <c r="B113" s="901"/>
      <c r="C113" s="901"/>
      <c r="D113" s="315">
        <f>SUM(B22,B50,B78,B106)</f>
        <v>0</v>
      </c>
    </row>
    <row r="114" spans="1:4" ht="15" customHeight="1" x14ac:dyDescent="0.25">
      <c r="A114" s="901" t="s">
        <v>5</v>
      </c>
      <c r="B114" s="901"/>
      <c r="C114" s="901"/>
      <c r="D114" s="315">
        <f>SUM(B4,B32,B60,B88)</f>
        <v>0</v>
      </c>
    </row>
    <row r="115" spans="1:4" ht="15" customHeight="1" x14ac:dyDescent="0.25">
      <c r="A115" s="901" t="s">
        <v>521</v>
      </c>
      <c r="B115" s="901"/>
      <c r="C115" s="901"/>
      <c r="D115" s="581">
        <f>SUM(IFERROR(C4-C5,0),IFERROR(C32-C33,0),IFERROR(C60-C61,0),IFERROR(C88-C89,0))</f>
        <v>0</v>
      </c>
    </row>
    <row r="116" spans="1:4" ht="15" customHeight="1" x14ac:dyDescent="0.25">
      <c r="A116" s="901" t="s">
        <v>300</v>
      </c>
      <c r="B116" s="901"/>
      <c r="C116" s="901"/>
      <c r="D116" s="315">
        <f>SUM(B23,B51,B79,B107)</f>
        <v>0</v>
      </c>
    </row>
    <row r="117" spans="1:4" ht="15" customHeight="1" x14ac:dyDescent="0.25">
      <c r="A117" s="783" t="s">
        <v>553</v>
      </c>
      <c r="B117" s="783"/>
      <c r="C117" s="783"/>
      <c r="D117" s="315">
        <f>SUM(C5,C33,C61,C89)</f>
        <v>0</v>
      </c>
    </row>
  </sheetData>
  <sheetProtection password="C7D7" sheet="1" objects="1" scenarios="1" formatColumns="0" formatRows="0"/>
  <mergeCells count="117">
    <mergeCell ref="A115:C115"/>
    <mergeCell ref="A116:C116"/>
    <mergeCell ref="A117:C117"/>
    <mergeCell ref="A20:H20"/>
    <mergeCell ref="D22:H22"/>
    <mergeCell ref="D24:H24"/>
    <mergeCell ref="A21:C21"/>
    <mergeCell ref="E21:F21"/>
    <mergeCell ref="A19:C19"/>
    <mergeCell ref="E19:H19"/>
    <mergeCell ref="A113:C113"/>
    <mergeCell ref="A114:C114"/>
    <mergeCell ref="G21:H21"/>
    <mergeCell ref="D94:H94"/>
    <mergeCell ref="D95:H95"/>
    <mergeCell ref="D96:H96"/>
    <mergeCell ref="D93:H93"/>
    <mergeCell ref="D71:H71"/>
    <mergeCell ref="D50:H50"/>
    <mergeCell ref="A47:C47"/>
    <mergeCell ref="D51:H51"/>
    <mergeCell ref="D46:H46"/>
    <mergeCell ref="E47:H47"/>
    <mergeCell ref="A48:H48"/>
    <mergeCell ref="A2:H2"/>
    <mergeCell ref="A8:H8"/>
    <mergeCell ref="A7:C7"/>
    <mergeCell ref="D9:H9"/>
    <mergeCell ref="D10:H10"/>
    <mergeCell ref="D11:H11"/>
    <mergeCell ref="D12:H12"/>
    <mergeCell ref="D14:H14"/>
    <mergeCell ref="D18:H18"/>
    <mergeCell ref="D13:H13"/>
    <mergeCell ref="D16:H16"/>
    <mergeCell ref="D17:H17"/>
    <mergeCell ref="D15:H15"/>
    <mergeCell ref="F6:H6"/>
    <mergeCell ref="A5:B5"/>
    <mergeCell ref="G5:H5"/>
    <mergeCell ref="A6:E6"/>
    <mergeCell ref="F7:H7"/>
    <mergeCell ref="D25:H25"/>
    <mergeCell ref="D23:H23"/>
    <mergeCell ref="A30:H30"/>
    <mergeCell ref="A33:B33"/>
    <mergeCell ref="G33:H33"/>
    <mergeCell ref="A34:E34"/>
    <mergeCell ref="F34:H34"/>
    <mergeCell ref="A35:C35"/>
    <mergeCell ref="F35:H35"/>
    <mergeCell ref="A36:H36"/>
    <mergeCell ref="D45:H45"/>
    <mergeCell ref="G49:H49"/>
    <mergeCell ref="D52:H52"/>
    <mergeCell ref="D53:H53"/>
    <mergeCell ref="A58:H58"/>
    <mergeCell ref="A61:B61"/>
    <mergeCell ref="G61:H61"/>
    <mergeCell ref="A62:E62"/>
    <mergeCell ref="F62:H62"/>
    <mergeCell ref="A49:C49"/>
    <mergeCell ref="E49:F49"/>
    <mergeCell ref="D37:H37"/>
    <mergeCell ref="D38:H38"/>
    <mergeCell ref="D39:H39"/>
    <mergeCell ref="D40:H40"/>
    <mergeCell ref="D41:H41"/>
    <mergeCell ref="D42:H42"/>
    <mergeCell ref="D43:H43"/>
    <mergeCell ref="D44:H44"/>
    <mergeCell ref="A63:C63"/>
    <mergeCell ref="F63:H63"/>
    <mergeCell ref="A64:H64"/>
    <mergeCell ref="D68:H68"/>
    <mergeCell ref="D69:H69"/>
    <mergeCell ref="D70:H70"/>
    <mergeCell ref="A75:C75"/>
    <mergeCell ref="E75:H75"/>
    <mergeCell ref="A76:H76"/>
    <mergeCell ref="A77:C77"/>
    <mergeCell ref="E77:F77"/>
    <mergeCell ref="G77:H77"/>
    <mergeCell ref="D72:H72"/>
    <mergeCell ref="D73:H73"/>
    <mergeCell ref="D74:H74"/>
    <mergeCell ref="D65:H65"/>
    <mergeCell ref="D66:H66"/>
    <mergeCell ref="D67:H67"/>
    <mergeCell ref="D78:H78"/>
    <mergeCell ref="D79:H79"/>
    <mergeCell ref="D80:H80"/>
    <mergeCell ref="D81:H81"/>
    <mergeCell ref="A86:H86"/>
    <mergeCell ref="A89:B89"/>
    <mergeCell ref="G89:H89"/>
    <mergeCell ref="A90:E90"/>
    <mergeCell ref="F90:H90"/>
    <mergeCell ref="A91:C91"/>
    <mergeCell ref="F91:H91"/>
    <mergeCell ref="A92:H92"/>
    <mergeCell ref="D97:H97"/>
    <mergeCell ref="D98:H98"/>
    <mergeCell ref="D99:H99"/>
    <mergeCell ref="D100:H100"/>
    <mergeCell ref="D101:H101"/>
    <mergeCell ref="D102:H102"/>
    <mergeCell ref="D109:H109"/>
    <mergeCell ref="A103:C103"/>
    <mergeCell ref="E103:H103"/>
    <mergeCell ref="A104:H104"/>
    <mergeCell ref="A105:C105"/>
    <mergeCell ref="E105:F105"/>
    <mergeCell ref="G105:H105"/>
    <mergeCell ref="D106:H106"/>
    <mergeCell ref="D107:H107"/>
    <mergeCell ref="D108:H108"/>
  </mergeCells>
  <dataValidations count="4">
    <dataValidation type="list" allowBlank="1" showInputMessage="1" showErrorMessage="1" sqref="D105 D77 D49 D21">
      <formula1>Underdrains</formula1>
    </dataValidation>
    <dataValidation type="list" showInputMessage="1" showErrorMessage="1" promptTitle="Choose Area" sqref="A88 A60 A32 A4">
      <formula1>CatchNo</formula1>
    </dataValidation>
    <dataValidation type="list" allowBlank="1" showInputMessage="1" showErrorMessage="1" sqref="G105:H105 G77:H77 G49:H49 G21:H21">
      <formula1>Reroute3</formula1>
    </dataValidation>
    <dataValidation type="list" showInputMessage="1" showErrorMessage="1" promptTitle="Yes or No?" sqref="D103 D75 D47 D19">
      <formula1>SoilType</formula1>
    </dataValidation>
  </dataValidations>
  <pageMargins left="0.7" right="0.7" top="0.75" bottom="0.75" header="0.3" footer="0.3"/>
  <pageSetup orientation="portrait" r:id="rId1"/>
  <headerFooter>
    <oddHeader xml:space="preserve">&amp;C&amp;18Dry Swale Worksheet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148"/>
  <sheetViews>
    <sheetView view="pageLayout" zoomScaleNormal="100" workbookViewId="0">
      <selection activeCell="A4" sqref="A4"/>
    </sheetView>
  </sheetViews>
  <sheetFormatPr defaultColWidth="9.140625" defaultRowHeight="15" x14ac:dyDescent="0.25"/>
  <cols>
    <col min="1" max="2" width="12.7109375" style="529" customWidth="1"/>
    <col min="3" max="3" width="11.42578125" style="529" customWidth="1"/>
    <col min="4" max="4" width="11" style="529" customWidth="1"/>
    <col min="5" max="5" width="6.42578125" style="529" customWidth="1"/>
    <col min="6" max="6" width="8.7109375" style="529" customWidth="1"/>
    <col min="7" max="7" width="12.140625" style="529" customWidth="1"/>
    <col min="8" max="8" width="15.28515625" style="529" customWidth="1"/>
    <col min="9" max="9" width="21.140625" style="529" bestFit="1" customWidth="1"/>
    <col min="10" max="10" width="9.140625" style="529"/>
    <col min="11" max="14" width="9.140625" style="529" hidden="1" customWidth="1"/>
    <col min="15" max="16384" width="9.140625" style="529"/>
  </cols>
  <sheetData>
    <row r="1" spans="1:8" ht="15" customHeight="1" x14ac:dyDescent="0.25">
      <c r="A1" s="561" t="s">
        <v>600</v>
      </c>
      <c r="B1" s="562" t="str">
        <f>IF('Total WQv Calculation'!$B$3="","",'Total WQv Calculation'!$B$3)</f>
        <v/>
      </c>
    </row>
    <row r="2" spans="1:8" x14ac:dyDescent="0.25">
      <c r="A2" s="667" t="s">
        <v>79</v>
      </c>
      <c r="B2" s="668"/>
      <c r="C2" s="668"/>
      <c r="D2" s="668"/>
      <c r="E2" s="668"/>
      <c r="F2" s="668"/>
      <c r="G2" s="668"/>
      <c r="H2" s="669"/>
    </row>
    <row r="3" spans="1:8" ht="46.7" customHeight="1" x14ac:dyDescent="0.25">
      <c r="A3" s="504" t="s">
        <v>493</v>
      </c>
      <c r="B3" s="505" t="s">
        <v>610</v>
      </c>
      <c r="C3" s="578" t="s">
        <v>611</v>
      </c>
      <c r="D3" s="505" t="s">
        <v>612</v>
      </c>
      <c r="E3" s="505" t="s">
        <v>7</v>
      </c>
      <c r="F3" s="505" t="s">
        <v>613</v>
      </c>
      <c r="G3" s="505" t="s">
        <v>614</v>
      </c>
      <c r="H3" s="506" t="s">
        <v>29</v>
      </c>
    </row>
    <row r="4" spans="1:8" ht="30.2" customHeight="1" x14ac:dyDescent="0.25">
      <c r="A4" s="213"/>
      <c r="B4" s="576" t="str">
        <f>IF($A4="","",(LOOKUP($A4,'Catchment Summary Table'!$A$4:$A$33,'Catchment Summary Table'!$B$4:$B$33)))</f>
        <v/>
      </c>
      <c r="C4" s="576" t="str">
        <f>IF($A4="","",(LOOKUP($A4,'Catchment Summary Table'!$A$4:$A$33,'Catchment Summary Table'!$C$4:$C$33)))</f>
        <v/>
      </c>
      <c r="D4" s="576" t="str">
        <f>IF($A4="","",(LOOKUP($A4,'Catchment Summary Table'!$A$4:$A$33,'Catchment Summary Table'!$D$4:$D$33)))</f>
        <v/>
      </c>
      <c r="E4" s="576" t="str">
        <f>IF($A4="","",(LOOKUP($A4,'Catchment Summary Table'!$A$4:$A$33,'Catchment Summary Table'!$E$4:$E$33)))</f>
        <v/>
      </c>
      <c r="F4" s="576" t="str">
        <f>IF($A4="","",(LOOKUP($A4,'Catchment Summary Table'!$A$4:$A$33,'Catchment Summary Table'!$F$4:$F$33)))</f>
        <v/>
      </c>
      <c r="G4" s="576" t="str">
        <f>IF(B4="","",IFERROR('Total WQv Calculation'!$B$4,""))</f>
        <v/>
      </c>
      <c r="H4" s="546" t="str">
        <f>IF($A4="","",(LOOKUP($A4,'Catchment Summary Table'!$A$4:$A$33,'Catchment Summary Table'!$G$4:$G$33)))</f>
        <v/>
      </c>
    </row>
    <row r="5" spans="1:8" ht="30.2" customHeight="1" x14ac:dyDescent="0.25">
      <c r="A5" s="914" t="s">
        <v>549</v>
      </c>
      <c r="B5" s="915"/>
      <c r="C5" s="285"/>
      <c r="D5" s="239" t="str">
        <f>IF(ISERROR((C4-C5)/B4),"",(C4-C5)/B4)</f>
        <v/>
      </c>
      <c r="E5" s="162" t="str">
        <f>IF(ISERROR(D5*100*0.009+0.05),"",(D5*100*0.009+0.05))</f>
        <v/>
      </c>
      <c r="F5" s="293" t="str">
        <f>IF(ISERROR(E5*B4*G4/12*43560 ),"",(E5*B4*G4/12*43560 ))</f>
        <v/>
      </c>
      <c r="G5" s="744" t="s">
        <v>550</v>
      </c>
      <c r="H5" s="916"/>
    </row>
    <row r="6" spans="1:8" ht="15" customHeight="1" x14ac:dyDescent="0.25">
      <c r="A6" s="907" t="str">
        <f>IF(C4&gt;1,"Exceeds Maximum Drainage Area"," ")</f>
        <v>Exceeds Maximum Drainage Area</v>
      </c>
      <c r="B6" s="908"/>
      <c r="C6" s="908"/>
      <c r="D6" s="908"/>
      <c r="E6" s="908"/>
      <c r="F6" s="908"/>
      <c r="G6" s="908"/>
      <c r="H6" s="909"/>
    </row>
    <row r="7" spans="1:8" ht="15" customHeight="1" x14ac:dyDescent="0.25">
      <c r="A7" s="667" t="s">
        <v>63</v>
      </c>
      <c r="B7" s="668"/>
      <c r="C7" s="668"/>
      <c r="D7" s="668"/>
      <c r="E7" s="668"/>
      <c r="F7" s="668"/>
      <c r="G7" s="668"/>
      <c r="H7" s="669"/>
    </row>
    <row r="8" spans="1:8" ht="15" customHeight="1" x14ac:dyDescent="0.25">
      <c r="A8" s="670" t="s">
        <v>103</v>
      </c>
      <c r="B8" s="671"/>
      <c r="C8" s="671"/>
      <c r="D8" s="671"/>
      <c r="E8" s="671"/>
      <c r="F8" s="671"/>
      <c r="G8" s="671"/>
      <c r="H8" s="672"/>
    </row>
    <row r="9" spans="1:8" ht="15" customHeight="1" x14ac:dyDescent="0.25">
      <c r="A9" s="910" t="s">
        <v>316</v>
      </c>
      <c r="B9" s="910"/>
      <c r="C9" s="911"/>
      <c r="D9" s="104"/>
      <c r="E9" s="541" t="s">
        <v>317</v>
      </c>
      <c r="F9" s="912" t="str">
        <f>IF(D9="","",IF(D9&gt;=0.5,"Okay","Error, Infiltration rate is too low, practice is not appropriate"))</f>
        <v/>
      </c>
      <c r="G9" s="912"/>
      <c r="H9" s="912"/>
    </row>
    <row r="10" spans="1:8" ht="30.2" customHeight="1" x14ac:dyDescent="0.25">
      <c r="A10" s="910" t="s">
        <v>318</v>
      </c>
      <c r="B10" s="910"/>
      <c r="C10" s="911"/>
      <c r="D10" s="184"/>
      <c r="E10" s="541" t="s">
        <v>319</v>
      </c>
      <c r="F10" s="913" t="s">
        <v>351</v>
      </c>
      <c r="G10" s="913"/>
      <c r="H10" s="913"/>
    </row>
    <row r="11" spans="1:8" ht="15" customHeight="1" x14ac:dyDescent="0.25">
      <c r="A11" s="752" t="s">
        <v>439</v>
      </c>
      <c r="B11" s="752"/>
      <c r="C11" s="727"/>
      <c r="D11" s="514" t="str">
        <f>IF(ISERROR(+F5*D10),"",+F5*D10)</f>
        <v/>
      </c>
      <c r="E11" s="540" t="s">
        <v>207</v>
      </c>
      <c r="F11" s="760"/>
      <c r="G11" s="760"/>
      <c r="H11" s="760"/>
    </row>
    <row r="12" spans="1:8" ht="15" customHeight="1" x14ac:dyDescent="0.25">
      <c r="A12" s="752" t="s">
        <v>443</v>
      </c>
      <c r="B12" s="752"/>
      <c r="C12" s="727"/>
      <c r="D12" s="103"/>
      <c r="E12" s="516" t="s">
        <v>207</v>
      </c>
      <c r="F12" s="859" t="str">
        <f>IF(D12&lt;D11,"Pretreatment Inadequate"," ")</f>
        <v xml:space="preserve"> </v>
      </c>
      <c r="G12" s="859"/>
      <c r="H12" s="859"/>
    </row>
    <row r="13" spans="1:8" ht="45.2" customHeight="1" x14ac:dyDescent="0.25">
      <c r="A13" s="752" t="s">
        <v>459</v>
      </c>
      <c r="B13" s="752"/>
      <c r="C13" s="752"/>
      <c r="D13" s="905"/>
      <c r="E13" s="906"/>
      <c r="F13" s="902" t="s">
        <v>452</v>
      </c>
      <c r="G13" s="903"/>
      <c r="H13" s="904"/>
    </row>
    <row r="14" spans="1:8" ht="15" customHeight="1" x14ac:dyDescent="0.25">
      <c r="A14" s="667" t="s">
        <v>322</v>
      </c>
      <c r="B14" s="668"/>
      <c r="C14" s="668"/>
      <c r="D14" s="668"/>
      <c r="E14" s="668"/>
      <c r="F14" s="668"/>
      <c r="G14" s="668"/>
      <c r="H14" s="669"/>
    </row>
    <row r="15" spans="1:8" ht="15" customHeight="1" x14ac:dyDescent="0.25">
      <c r="A15" s="670" t="s">
        <v>324</v>
      </c>
      <c r="B15" s="671"/>
      <c r="C15" s="671"/>
      <c r="D15" s="671"/>
      <c r="E15" s="671"/>
      <c r="F15" s="671"/>
      <c r="G15" s="671"/>
      <c r="H15" s="672"/>
    </row>
    <row r="16" spans="1:8" ht="15" customHeight="1" x14ac:dyDescent="0.25">
      <c r="A16" s="752" t="s">
        <v>105</v>
      </c>
      <c r="B16" s="752"/>
      <c r="C16" s="510" t="s">
        <v>144</v>
      </c>
      <c r="D16" s="294" t="str">
        <f>F5</f>
        <v/>
      </c>
      <c r="E16" s="516" t="s">
        <v>207</v>
      </c>
      <c r="F16" s="723"/>
      <c r="G16" s="723"/>
      <c r="H16" s="723"/>
    </row>
    <row r="17" spans="1:8" ht="15" customHeight="1" x14ac:dyDescent="0.25">
      <c r="A17" s="752" t="s">
        <v>321</v>
      </c>
      <c r="B17" s="752"/>
      <c r="C17" s="510" t="s">
        <v>146</v>
      </c>
      <c r="D17" s="185"/>
      <c r="E17" s="516"/>
      <c r="F17" s="723"/>
      <c r="G17" s="723"/>
      <c r="H17" s="723"/>
    </row>
    <row r="18" spans="1:8" ht="15" customHeight="1" x14ac:dyDescent="0.25">
      <c r="A18" s="752" t="s">
        <v>190</v>
      </c>
      <c r="B18" s="752"/>
      <c r="C18" s="510" t="s">
        <v>149</v>
      </c>
      <c r="D18" s="185"/>
      <c r="E18" s="516" t="s">
        <v>12</v>
      </c>
      <c r="F18" s="760" t="s">
        <v>468</v>
      </c>
      <c r="G18" s="723"/>
      <c r="H18" s="723"/>
    </row>
    <row r="19" spans="1:8" ht="30.2" customHeight="1" x14ac:dyDescent="0.25">
      <c r="A19" s="752" t="s">
        <v>457</v>
      </c>
      <c r="B19" s="752"/>
      <c r="C19" s="510"/>
      <c r="D19" s="185"/>
      <c r="E19" s="516" t="s">
        <v>12</v>
      </c>
      <c r="F19" s="760" t="s">
        <v>458</v>
      </c>
      <c r="G19" s="760"/>
      <c r="H19" s="760"/>
    </row>
    <row r="20" spans="1:8" ht="15" customHeight="1" x14ac:dyDescent="0.25">
      <c r="A20" s="752" t="s">
        <v>106</v>
      </c>
      <c r="B20" s="752"/>
      <c r="C20" s="510" t="s">
        <v>141</v>
      </c>
      <c r="D20" s="156" t="str">
        <f>IF(ISERROR(IF(D16=0,0,D16/(D18*D17))),"",IF(D16=0,0,D16/(D18*D17)))</f>
        <v/>
      </c>
      <c r="E20" s="516" t="s">
        <v>210</v>
      </c>
      <c r="F20" s="723"/>
      <c r="G20" s="723"/>
      <c r="H20" s="723"/>
    </row>
    <row r="21" spans="1:8" ht="15" customHeight="1" x14ac:dyDescent="0.25">
      <c r="A21" s="752" t="s">
        <v>464</v>
      </c>
      <c r="B21" s="752"/>
      <c r="C21" s="510"/>
      <c r="D21" s="186"/>
      <c r="E21" s="516" t="s">
        <v>210</v>
      </c>
      <c r="F21" s="917" t="s">
        <v>467</v>
      </c>
      <c r="G21" s="917"/>
      <c r="H21" s="917"/>
    </row>
    <row r="22" spans="1:8" ht="15" customHeight="1" x14ac:dyDescent="0.25">
      <c r="A22" s="752" t="s">
        <v>465</v>
      </c>
      <c r="B22" s="752"/>
      <c r="C22" s="507"/>
      <c r="D22" s="98" t="str">
        <f>IF(ISERROR(+D20/D21),"",+D20/D21)</f>
        <v/>
      </c>
      <c r="E22" s="516"/>
      <c r="F22" s="760"/>
      <c r="G22" s="760"/>
      <c r="H22" s="760"/>
    </row>
    <row r="23" spans="1:8" ht="15" customHeight="1" x14ac:dyDescent="0.25">
      <c r="A23" s="752" t="s">
        <v>466</v>
      </c>
      <c r="B23" s="752"/>
      <c r="C23" s="507"/>
      <c r="D23" s="185"/>
      <c r="E23" s="516"/>
      <c r="F23" s="656"/>
      <c r="G23" s="657"/>
      <c r="H23" s="658"/>
    </row>
    <row r="24" spans="1:8" ht="30.2" customHeight="1" x14ac:dyDescent="0.25">
      <c r="A24" s="910" t="s">
        <v>309</v>
      </c>
      <c r="B24" s="910"/>
      <c r="C24" s="507"/>
      <c r="D24" s="294">
        <f>+D23*D21*D18*D17</f>
        <v>0</v>
      </c>
      <c r="E24" s="516" t="s">
        <v>207</v>
      </c>
      <c r="F24" s="918" t="s">
        <v>320</v>
      </c>
      <c r="G24" s="918"/>
      <c r="H24" s="918"/>
    </row>
    <row r="25" spans="1:8" s="206" customFormat="1" ht="15" customHeight="1" x14ac:dyDescent="0.25">
      <c r="A25" s="919" t="s">
        <v>88</v>
      </c>
      <c r="B25" s="919"/>
      <c r="C25" s="919"/>
      <c r="D25" s="919"/>
      <c r="E25" s="919"/>
      <c r="F25" s="919"/>
      <c r="G25" s="919"/>
      <c r="H25" s="919"/>
    </row>
    <row r="26" spans="1:8" s="305" customFormat="1" ht="15" customHeight="1" x14ac:dyDescent="0.25">
      <c r="A26" s="537" t="s">
        <v>23</v>
      </c>
      <c r="B26" s="247">
        <f>IF(0.9*D24&gt;=F5,F5,D24*0.9)</f>
        <v>0</v>
      </c>
      <c r="C26" s="538" t="s">
        <v>249</v>
      </c>
      <c r="D26" s="770" t="s">
        <v>323</v>
      </c>
      <c r="E26" s="770"/>
      <c r="F26" s="770"/>
      <c r="G26" s="770"/>
      <c r="H26" s="770"/>
    </row>
    <row r="27" spans="1:8" s="305" customFormat="1" ht="30.2" customHeight="1" x14ac:dyDescent="0.25">
      <c r="A27" s="537" t="s">
        <v>243</v>
      </c>
      <c r="B27" s="247">
        <f>IF(B26=0,0,F5-B26)</f>
        <v>0</v>
      </c>
      <c r="C27" s="538" t="s">
        <v>207</v>
      </c>
      <c r="D27" s="770" t="s">
        <v>244</v>
      </c>
      <c r="E27" s="770"/>
      <c r="F27" s="770"/>
      <c r="G27" s="770"/>
      <c r="H27" s="770"/>
    </row>
    <row r="28" spans="1:8" x14ac:dyDescent="0.25">
      <c r="A28" s="520"/>
      <c r="B28" s="156"/>
      <c r="C28" s="522"/>
      <c r="D28" s="518"/>
      <c r="E28" s="518"/>
      <c r="F28" s="518"/>
      <c r="G28" s="518"/>
      <c r="H28" s="518"/>
    </row>
    <row r="29" spans="1:8" x14ac:dyDescent="0.25">
      <c r="A29" s="520"/>
      <c r="B29" s="156"/>
      <c r="C29" s="522"/>
      <c r="D29" s="518"/>
      <c r="E29" s="518"/>
      <c r="F29" s="518"/>
      <c r="G29" s="518"/>
      <c r="H29" s="518"/>
    </row>
    <row r="30" spans="1:8" x14ac:dyDescent="0.25">
      <c r="A30" s="520"/>
      <c r="B30" s="156"/>
      <c r="C30" s="522"/>
      <c r="D30" s="518"/>
      <c r="E30" s="518"/>
      <c r="F30" s="518"/>
      <c r="G30" s="518"/>
      <c r="H30" s="518"/>
    </row>
    <row r="31" spans="1:8" x14ac:dyDescent="0.25">
      <c r="A31" s="520"/>
      <c r="B31" s="156"/>
      <c r="C31" s="522"/>
      <c r="D31" s="518"/>
      <c r="E31" s="518"/>
      <c r="F31" s="518"/>
      <c r="G31" s="518"/>
      <c r="H31" s="518"/>
    </row>
    <row r="32" spans="1:8" x14ac:dyDescent="0.25">
      <c r="A32" s="520"/>
      <c r="B32" s="156"/>
      <c r="C32" s="522"/>
      <c r="D32" s="518"/>
      <c r="E32" s="518"/>
      <c r="F32" s="518"/>
      <c r="G32" s="518"/>
      <c r="H32" s="518"/>
    </row>
    <row r="33" spans="1:8" x14ac:dyDescent="0.25">
      <c r="A33" s="520"/>
      <c r="B33" s="156"/>
      <c r="C33" s="522"/>
      <c r="D33" s="518"/>
      <c r="E33" s="518"/>
      <c r="F33" s="518"/>
      <c r="G33" s="518"/>
      <c r="H33" s="518"/>
    </row>
    <row r="34" spans="1:8" x14ac:dyDescent="0.25">
      <c r="A34" s="520"/>
      <c r="B34" s="156"/>
      <c r="C34" s="522"/>
      <c r="D34" s="518"/>
      <c r="E34" s="518"/>
      <c r="F34" s="518"/>
      <c r="G34" s="518"/>
      <c r="H34" s="518"/>
    </row>
    <row r="35" spans="1:8" x14ac:dyDescent="0.25">
      <c r="A35" s="520"/>
      <c r="B35" s="156"/>
      <c r="C35" s="522"/>
      <c r="D35" s="518"/>
      <c r="E35" s="518"/>
      <c r="F35" s="518"/>
      <c r="G35" s="518"/>
      <c r="H35" s="518"/>
    </row>
    <row r="36" spans="1:8" x14ac:dyDescent="0.25">
      <c r="A36" s="520"/>
      <c r="B36" s="156"/>
      <c r="C36" s="522"/>
      <c r="D36" s="518"/>
      <c r="E36" s="518"/>
      <c r="F36" s="518"/>
      <c r="G36" s="518"/>
      <c r="H36" s="518"/>
    </row>
    <row r="37" spans="1:8" x14ac:dyDescent="0.25">
      <c r="A37" s="561" t="s">
        <v>600</v>
      </c>
      <c r="B37" s="562" t="str">
        <f>IF('Total WQv Calculation'!$B$3="","",'Total WQv Calculation'!$B$3)</f>
        <v/>
      </c>
      <c r="C37" s="522"/>
      <c r="D37" s="518"/>
      <c r="E37" s="518"/>
      <c r="F37" s="518"/>
      <c r="G37" s="518"/>
      <c r="H37" s="518"/>
    </row>
    <row r="38" spans="1:8" ht="15" customHeight="1" x14ac:dyDescent="0.25">
      <c r="A38" s="667" t="s">
        <v>79</v>
      </c>
      <c r="B38" s="668"/>
      <c r="C38" s="668"/>
      <c r="D38" s="668"/>
      <c r="E38" s="668"/>
      <c r="F38" s="668"/>
      <c r="G38" s="668"/>
      <c r="H38" s="669"/>
    </row>
    <row r="39" spans="1:8" ht="46.7" customHeight="1" x14ac:dyDescent="0.25">
      <c r="A39" s="504" t="s">
        <v>493</v>
      </c>
      <c r="B39" s="505" t="s">
        <v>610</v>
      </c>
      <c r="C39" s="578" t="s">
        <v>611</v>
      </c>
      <c r="D39" s="505" t="s">
        <v>612</v>
      </c>
      <c r="E39" s="505" t="s">
        <v>7</v>
      </c>
      <c r="F39" s="505" t="s">
        <v>613</v>
      </c>
      <c r="G39" s="505" t="s">
        <v>614</v>
      </c>
      <c r="H39" s="506" t="s">
        <v>29</v>
      </c>
    </row>
    <row r="40" spans="1:8" ht="30.2" customHeight="1" x14ac:dyDescent="0.25">
      <c r="A40" s="213"/>
      <c r="B40" s="576" t="str">
        <f>IF($A40="","",(LOOKUP($A40,'Catchment Summary Table'!$A$4:$A$33,'Catchment Summary Table'!$B$4:$B$33)))</f>
        <v/>
      </c>
      <c r="C40" s="576" t="str">
        <f>IF($A40="","",(LOOKUP($A40,'Catchment Summary Table'!$A$4:$A$33,'Catchment Summary Table'!$C$4:$C$33)))</f>
        <v/>
      </c>
      <c r="D40" s="576" t="str">
        <f>IF($A40="","",(LOOKUP($A40,'Catchment Summary Table'!$A$4:$A$33,'Catchment Summary Table'!$D$4:$D$33)))</f>
        <v/>
      </c>
      <c r="E40" s="576" t="str">
        <f>IF($A40="","",(LOOKUP($A40,'Catchment Summary Table'!$A$4:$A$33,'Catchment Summary Table'!$E$4:$E$33)))</f>
        <v/>
      </c>
      <c r="F40" s="576" t="str">
        <f>IF($A40="","",(LOOKUP($A40,'Catchment Summary Table'!$A$4:$A$33,'Catchment Summary Table'!$F$4:$F$33)))</f>
        <v/>
      </c>
      <c r="G40" s="576" t="str">
        <f>IF(B40="","",IFERROR('Total WQv Calculation'!$B$4,""))</f>
        <v/>
      </c>
      <c r="H40" s="546" t="str">
        <f>IF($A40="","",(LOOKUP($A40,'Catchment Summary Table'!$A$4:$A$33,'Catchment Summary Table'!$G$4:$G$33)))</f>
        <v/>
      </c>
    </row>
    <row r="41" spans="1:8" ht="30.2" customHeight="1" x14ac:dyDescent="0.25">
      <c r="A41" s="914" t="s">
        <v>549</v>
      </c>
      <c r="B41" s="915"/>
      <c r="C41" s="285"/>
      <c r="D41" s="239" t="str">
        <f>IF(ISERROR((C40-C41)/B40),"",(C40-C41)/B40)</f>
        <v/>
      </c>
      <c r="E41" s="162" t="str">
        <f>IF(ISERROR(D41*100*0.009+0.05),"",(D41*100*0.009+0.05))</f>
        <v/>
      </c>
      <c r="F41" s="293" t="str">
        <f>IF(ISERROR(E41*B40*G40/12*43560 ),"",(E41*B40*G40/12*43560 ))</f>
        <v/>
      </c>
      <c r="G41" s="744" t="s">
        <v>550</v>
      </c>
      <c r="H41" s="916"/>
    </row>
    <row r="42" spans="1:8" ht="15" customHeight="1" x14ac:dyDescent="0.25">
      <c r="A42" s="907" t="str">
        <f>IF(C40&gt;1,"Exceeds Maximum Drainage Area"," ")</f>
        <v>Exceeds Maximum Drainage Area</v>
      </c>
      <c r="B42" s="908"/>
      <c r="C42" s="908"/>
      <c r="D42" s="908"/>
      <c r="E42" s="908"/>
      <c r="F42" s="908"/>
      <c r="G42" s="908"/>
      <c r="H42" s="909"/>
    </row>
    <row r="43" spans="1:8" ht="15" customHeight="1" x14ac:dyDescent="0.25">
      <c r="A43" s="667" t="s">
        <v>63</v>
      </c>
      <c r="B43" s="668"/>
      <c r="C43" s="668"/>
      <c r="D43" s="668"/>
      <c r="E43" s="668"/>
      <c r="F43" s="668"/>
      <c r="G43" s="668"/>
      <c r="H43" s="669"/>
    </row>
    <row r="44" spans="1:8" ht="15" customHeight="1" x14ac:dyDescent="0.25">
      <c r="A44" s="670" t="s">
        <v>103</v>
      </c>
      <c r="B44" s="671"/>
      <c r="C44" s="671"/>
      <c r="D44" s="671"/>
      <c r="E44" s="671"/>
      <c r="F44" s="671"/>
      <c r="G44" s="671"/>
      <c r="H44" s="672"/>
    </row>
    <row r="45" spans="1:8" ht="15" customHeight="1" x14ac:dyDescent="0.25">
      <c r="A45" s="910" t="s">
        <v>316</v>
      </c>
      <c r="B45" s="910"/>
      <c r="C45" s="911"/>
      <c r="D45" s="104"/>
      <c r="E45" s="541" t="s">
        <v>317</v>
      </c>
      <c r="F45" s="912" t="str">
        <f>IF(D45="","",IF(D45&gt;=0.5,"Okay","Error, Infiltration rate is too low, practice is not appropriate"))</f>
        <v/>
      </c>
      <c r="G45" s="912"/>
      <c r="H45" s="912"/>
    </row>
    <row r="46" spans="1:8" ht="30.2" customHeight="1" x14ac:dyDescent="0.25">
      <c r="A46" s="910" t="s">
        <v>318</v>
      </c>
      <c r="B46" s="910"/>
      <c r="C46" s="911"/>
      <c r="D46" s="184"/>
      <c r="E46" s="541" t="s">
        <v>319</v>
      </c>
      <c r="F46" s="913" t="s">
        <v>351</v>
      </c>
      <c r="G46" s="913"/>
      <c r="H46" s="913"/>
    </row>
    <row r="47" spans="1:8" ht="15" customHeight="1" x14ac:dyDescent="0.25">
      <c r="A47" s="752" t="s">
        <v>439</v>
      </c>
      <c r="B47" s="752"/>
      <c r="C47" s="727"/>
      <c r="D47" s="514" t="str">
        <f>IF(ISERROR(+F41*D46),"",+F41*D46)</f>
        <v/>
      </c>
      <c r="E47" s="498" t="s">
        <v>207</v>
      </c>
      <c r="F47" s="760"/>
      <c r="G47" s="760"/>
      <c r="H47" s="760"/>
    </row>
    <row r="48" spans="1:8" ht="15" customHeight="1" x14ac:dyDescent="0.25">
      <c r="A48" s="752" t="s">
        <v>443</v>
      </c>
      <c r="B48" s="752"/>
      <c r="C48" s="727"/>
      <c r="D48" s="283"/>
      <c r="E48" s="516" t="s">
        <v>207</v>
      </c>
      <c r="F48" s="859" t="str">
        <f>IF(D48&lt;D47,"Pretreatment Inadequate"," ")</f>
        <v xml:space="preserve"> </v>
      </c>
      <c r="G48" s="859"/>
      <c r="H48" s="859"/>
    </row>
    <row r="49" spans="1:8" ht="45.2" customHeight="1" x14ac:dyDescent="0.25">
      <c r="A49" s="752" t="s">
        <v>459</v>
      </c>
      <c r="B49" s="752"/>
      <c r="C49" s="752"/>
      <c r="D49" s="905"/>
      <c r="E49" s="906"/>
      <c r="F49" s="902" t="s">
        <v>452</v>
      </c>
      <c r="G49" s="903"/>
      <c r="H49" s="904"/>
    </row>
    <row r="50" spans="1:8" ht="15" customHeight="1" x14ac:dyDescent="0.25">
      <c r="A50" s="667" t="s">
        <v>322</v>
      </c>
      <c r="B50" s="668"/>
      <c r="C50" s="668"/>
      <c r="D50" s="668"/>
      <c r="E50" s="668"/>
      <c r="F50" s="668"/>
      <c r="G50" s="668"/>
      <c r="H50" s="669"/>
    </row>
    <row r="51" spans="1:8" ht="15" customHeight="1" x14ac:dyDescent="0.25">
      <c r="A51" s="670" t="s">
        <v>324</v>
      </c>
      <c r="B51" s="671"/>
      <c r="C51" s="671"/>
      <c r="D51" s="671"/>
      <c r="E51" s="671"/>
      <c r="F51" s="671"/>
      <c r="G51" s="671"/>
      <c r="H51" s="672"/>
    </row>
    <row r="52" spans="1:8" ht="15" customHeight="1" x14ac:dyDescent="0.25">
      <c r="A52" s="752" t="s">
        <v>105</v>
      </c>
      <c r="B52" s="752"/>
      <c r="C52" s="510" t="s">
        <v>144</v>
      </c>
      <c r="D52" s="294" t="str">
        <f>F41</f>
        <v/>
      </c>
      <c r="E52" s="516" t="s">
        <v>207</v>
      </c>
      <c r="F52" s="723"/>
      <c r="G52" s="723"/>
      <c r="H52" s="723"/>
    </row>
    <row r="53" spans="1:8" ht="15" customHeight="1" x14ac:dyDescent="0.25">
      <c r="A53" s="752" t="s">
        <v>321</v>
      </c>
      <c r="B53" s="752"/>
      <c r="C53" s="510" t="s">
        <v>146</v>
      </c>
      <c r="D53" s="185"/>
      <c r="E53" s="516"/>
      <c r="F53" s="723"/>
      <c r="G53" s="723"/>
      <c r="H53" s="723"/>
    </row>
    <row r="54" spans="1:8" ht="15" customHeight="1" x14ac:dyDescent="0.25">
      <c r="A54" s="752" t="s">
        <v>190</v>
      </c>
      <c r="B54" s="752"/>
      <c r="C54" s="510" t="s">
        <v>149</v>
      </c>
      <c r="D54" s="185"/>
      <c r="E54" s="516" t="s">
        <v>12</v>
      </c>
      <c r="F54" s="760" t="s">
        <v>468</v>
      </c>
      <c r="G54" s="723"/>
      <c r="H54" s="723"/>
    </row>
    <row r="55" spans="1:8" ht="30.2" customHeight="1" x14ac:dyDescent="0.25">
      <c r="A55" s="752" t="s">
        <v>457</v>
      </c>
      <c r="B55" s="752"/>
      <c r="C55" s="510"/>
      <c r="D55" s="185"/>
      <c r="E55" s="516" t="s">
        <v>12</v>
      </c>
      <c r="F55" s="760" t="s">
        <v>458</v>
      </c>
      <c r="G55" s="760"/>
      <c r="H55" s="760"/>
    </row>
    <row r="56" spans="1:8" ht="15" customHeight="1" x14ac:dyDescent="0.25">
      <c r="A56" s="752" t="s">
        <v>106</v>
      </c>
      <c r="B56" s="752"/>
      <c r="C56" s="510" t="s">
        <v>141</v>
      </c>
      <c r="D56" s="156" t="str">
        <f>IF(ISERROR(IF(D52=0,0,D52/(D54*D53))),"",IF(D52=0,0,D52/(D54*D53)))</f>
        <v/>
      </c>
      <c r="E56" s="516" t="s">
        <v>210</v>
      </c>
      <c r="F56" s="723"/>
      <c r="G56" s="723"/>
      <c r="H56" s="723"/>
    </row>
    <row r="57" spans="1:8" ht="15" customHeight="1" x14ac:dyDescent="0.25">
      <c r="A57" s="752" t="s">
        <v>464</v>
      </c>
      <c r="B57" s="752"/>
      <c r="C57" s="510"/>
      <c r="D57" s="186"/>
      <c r="E57" s="516" t="s">
        <v>210</v>
      </c>
      <c r="F57" s="917" t="s">
        <v>467</v>
      </c>
      <c r="G57" s="917"/>
      <c r="H57" s="917"/>
    </row>
    <row r="58" spans="1:8" ht="15" customHeight="1" x14ac:dyDescent="0.25">
      <c r="A58" s="752" t="s">
        <v>465</v>
      </c>
      <c r="B58" s="752"/>
      <c r="C58" s="507"/>
      <c r="D58" s="98" t="str">
        <f>IF(ISERROR(+D56/D57),"",+D56/D57)</f>
        <v/>
      </c>
      <c r="E58" s="516"/>
      <c r="F58" s="760"/>
      <c r="G58" s="760"/>
      <c r="H58" s="760"/>
    </row>
    <row r="59" spans="1:8" ht="15" customHeight="1" x14ac:dyDescent="0.25">
      <c r="A59" s="752" t="s">
        <v>466</v>
      </c>
      <c r="B59" s="752"/>
      <c r="C59" s="507"/>
      <c r="D59" s="185"/>
      <c r="E59" s="516"/>
      <c r="F59" s="656"/>
      <c r="G59" s="657"/>
      <c r="H59" s="658"/>
    </row>
    <row r="60" spans="1:8" ht="30.2" customHeight="1" x14ac:dyDescent="0.25">
      <c r="A60" s="910" t="s">
        <v>309</v>
      </c>
      <c r="B60" s="910"/>
      <c r="C60" s="507"/>
      <c r="D60" s="294">
        <f>+D59*D57*D54*D53</f>
        <v>0</v>
      </c>
      <c r="E60" s="516" t="s">
        <v>207</v>
      </c>
      <c r="F60" s="918" t="s">
        <v>320</v>
      </c>
      <c r="G60" s="918"/>
      <c r="H60" s="918"/>
    </row>
    <row r="61" spans="1:8" ht="15" customHeight="1" x14ac:dyDescent="0.25">
      <c r="A61" s="919" t="s">
        <v>88</v>
      </c>
      <c r="B61" s="919"/>
      <c r="C61" s="919"/>
      <c r="D61" s="919"/>
      <c r="E61" s="919"/>
      <c r="F61" s="919"/>
      <c r="G61" s="919"/>
      <c r="H61" s="919"/>
    </row>
    <row r="62" spans="1:8" ht="15" customHeight="1" x14ac:dyDescent="0.25">
      <c r="A62" s="537" t="s">
        <v>23</v>
      </c>
      <c r="B62" s="247">
        <f>IF(0.9*D60&gt;=F41,F41,D60*0.9)</f>
        <v>0</v>
      </c>
      <c r="C62" s="538" t="s">
        <v>249</v>
      </c>
      <c r="D62" s="883" t="s">
        <v>323</v>
      </c>
      <c r="E62" s="883"/>
      <c r="F62" s="883"/>
      <c r="G62" s="883"/>
      <c r="H62" s="884"/>
    </row>
    <row r="63" spans="1:8" ht="30.2" customHeight="1" x14ac:dyDescent="0.25">
      <c r="A63" s="537" t="s">
        <v>243</v>
      </c>
      <c r="B63" s="247">
        <f>IF(B62=0,0,F41-B62)</f>
        <v>0</v>
      </c>
      <c r="C63" s="538" t="s">
        <v>249</v>
      </c>
      <c r="D63" s="920" t="s">
        <v>244</v>
      </c>
      <c r="E63" s="920"/>
      <c r="F63" s="920"/>
      <c r="G63" s="920"/>
      <c r="H63" s="920"/>
    </row>
    <row r="73" spans="1:8" x14ac:dyDescent="0.25">
      <c r="A73" s="561" t="s">
        <v>600</v>
      </c>
      <c r="B73" s="562" t="str">
        <f>IF('Total WQv Calculation'!$B$3="","",'Total WQv Calculation'!$B$3)</f>
        <v/>
      </c>
    </row>
    <row r="74" spans="1:8" ht="15" customHeight="1" x14ac:dyDescent="0.25">
      <c r="A74" s="667" t="s">
        <v>79</v>
      </c>
      <c r="B74" s="668"/>
      <c r="C74" s="668"/>
      <c r="D74" s="668"/>
      <c r="E74" s="668"/>
      <c r="F74" s="668"/>
      <c r="G74" s="668"/>
      <c r="H74" s="669"/>
    </row>
    <row r="75" spans="1:8" ht="46.7" customHeight="1" x14ac:dyDescent="0.25">
      <c r="A75" s="504" t="s">
        <v>493</v>
      </c>
      <c r="B75" s="505" t="s">
        <v>610</v>
      </c>
      <c r="C75" s="578" t="s">
        <v>611</v>
      </c>
      <c r="D75" s="505" t="s">
        <v>612</v>
      </c>
      <c r="E75" s="505" t="s">
        <v>7</v>
      </c>
      <c r="F75" s="505" t="s">
        <v>613</v>
      </c>
      <c r="G75" s="505" t="s">
        <v>614</v>
      </c>
      <c r="H75" s="506" t="s">
        <v>29</v>
      </c>
    </row>
    <row r="76" spans="1:8" ht="30.2" customHeight="1" x14ac:dyDescent="0.25">
      <c r="A76" s="213"/>
      <c r="B76" s="576" t="str">
        <f>IF($A76="","",(LOOKUP($A76,'Catchment Summary Table'!$A$4:$A$33,'Catchment Summary Table'!$B$4:$B$33)))</f>
        <v/>
      </c>
      <c r="C76" s="576" t="str">
        <f>IF($A76="","",(LOOKUP($A76,'Catchment Summary Table'!$A$4:$A$33,'Catchment Summary Table'!$C$4:$C$33)))</f>
        <v/>
      </c>
      <c r="D76" s="576" t="str">
        <f>IF($A76="","",(LOOKUP($A76,'Catchment Summary Table'!$A$4:$A$33,'Catchment Summary Table'!$D$4:$D$33)))</f>
        <v/>
      </c>
      <c r="E76" s="576" t="str">
        <f>IF($A76="","",(LOOKUP($A76,'Catchment Summary Table'!$A$4:$A$33,'Catchment Summary Table'!$E$4:$E$33)))</f>
        <v/>
      </c>
      <c r="F76" s="576" t="str">
        <f>IF($A76="","",(LOOKUP($A76,'Catchment Summary Table'!$A$4:$A$33,'Catchment Summary Table'!$F$4:$F$33)))</f>
        <v/>
      </c>
      <c r="G76" s="576" t="str">
        <f>IF(B76="","",IFERROR('Total WQv Calculation'!$B$4,""))</f>
        <v/>
      </c>
      <c r="H76" s="546" t="str">
        <f>IF($A76="","",(LOOKUP($A76,'Catchment Summary Table'!$A$4:$A$33,'Catchment Summary Table'!$G$4:$G$33)))</f>
        <v/>
      </c>
    </row>
    <row r="77" spans="1:8" ht="30.2" customHeight="1" x14ac:dyDescent="0.25">
      <c r="A77" s="914" t="s">
        <v>549</v>
      </c>
      <c r="B77" s="915"/>
      <c r="C77" s="285"/>
      <c r="D77" s="239" t="str">
        <f>IF(ISERROR((C76-C77)/B76),"",(C76-C77)/B76)</f>
        <v/>
      </c>
      <c r="E77" s="162" t="str">
        <f>IF(ISERROR(D77*100*0.009+0.05),"",(D77*100*0.009+0.05))</f>
        <v/>
      </c>
      <c r="F77" s="293" t="str">
        <f>IF(ISERROR(E77*B76*G76/12*43560 ),"",(E77*B76*G76/12*43560 ))</f>
        <v/>
      </c>
      <c r="G77" s="744" t="s">
        <v>550</v>
      </c>
      <c r="H77" s="916"/>
    </row>
    <row r="78" spans="1:8" ht="15" customHeight="1" x14ac:dyDescent="0.25">
      <c r="A78" s="907" t="str">
        <f>IF(C76&gt;1,"Exceeds Maximum Drainage Area"," ")</f>
        <v>Exceeds Maximum Drainage Area</v>
      </c>
      <c r="B78" s="908"/>
      <c r="C78" s="908"/>
      <c r="D78" s="908"/>
      <c r="E78" s="908"/>
      <c r="F78" s="908"/>
      <c r="G78" s="908"/>
      <c r="H78" s="909"/>
    </row>
    <row r="79" spans="1:8" ht="15" customHeight="1" x14ac:dyDescent="0.25">
      <c r="A79" s="667" t="s">
        <v>63</v>
      </c>
      <c r="B79" s="668"/>
      <c r="C79" s="668"/>
      <c r="D79" s="668"/>
      <c r="E79" s="668"/>
      <c r="F79" s="668"/>
      <c r="G79" s="668"/>
      <c r="H79" s="669"/>
    </row>
    <row r="80" spans="1:8" ht="15" customHeight="1" x14ac:dyDescent="0.25">
      <c r="A80" s="670" t="s">
        <v>103</v>
      </c>
      <c r="B80" s="671"/>
      <c r="C80" s="671"/>
      <c r="D80" s="671"/>
      <c r="E80" s="671"/>
      <c r="F80" s="671"/>
      <c r="G80" s="671"/>
      <c r="H80" s="672"/>
    </row>
    <row r="81" spans="1:8" ht="15" customHeight="1" x14ac:dyDescent="0.25">
      <c r="A81" s="910" t="s">
        <v>316</v>
      </c>
      <c r="B81" s="910"/>
      <c r="C81" s="911"/>
      <c r="D81" s="104"/>
      <c r="E81" s="541" t="s">
        <v>317</v>
      </c>
      <c r="F81" s="912" t="str">
        <f>IF(D81="","",IF(D81&gt;=0.5,"Okay","Error, Infiltration rate is too low, practice is not appropriate"))</f>
        <v/>
      </c>
      <c r="G81" s="912"/>
      <c r="H81" s="912"/>
    </row>
    <row r="82" spans="1:8" ht="30.2" customHeight="1" x14ac:dyDescent="0.25">
      <c r="A82" s="910" t="s">
        <v>318</v>
      </c>
      <c r="B82" s="910"/>
      <c r="C82" s="911"/>
      <c r="D82" s="184"/>
      <c r="E82" s="541" t="s">
        <v>319</v>
      </c>
      <c r="F82" s="913" t="s">
        <v>351</v>
      </c>
      <c r="G82" s="913"/>
      <c r="H82" s="913"/>
    </row>
    <row r="83" spans="1:8" ht="15" customHeight="1" x14ac:dyDescent="0.25">
      <c r="A83" s="752" t="s">
        <v>439</v>
      </c>
      <c r="B83" s="752"/>
      <c r="C83" s="727"/>
      <c r="D83" s="514" t="str">
        <f>IF(ISERROR(+F77*D82),"",+F77*D82)</f>
        <v/>
      </c>
      <c r="E83" s="498" t="s">
        <v>207</v>
      </c>
      <c r="F83" s="760"/>
      <c r="G83" s="760"/>
      <c r="H83" s="760"/>
    </row>
    <row r="84" spans="1:8" ht="15" customHeight="1" x14ac:dyDescent="0.25">
      <c r="A84" s="752" t="s">
        <v>443</v>
      </c>
      <c r="B84" s="752"/>
      <c r="C84" s="727"/>
      <c r="D84" s="283"/>
      <c r="E84" s="516" t="s">
        <v>207</v>
      </c>
      <c r="F84" s="859" t="str">
        <f>IF(D84&lt;D83,"Pretreatment Inadequate"," ")</f>
        <v xml:space="preserve"> </v>
      </c>
      <c r="G84" s="859"/>
      <c r="H84" s="859"/>
    </row>
    <row r="85" spans="1:8" ht="45.2" customHeight="1" x14ac:dyDescent="0.25">
      <c r="A85" s="752" t="s">
        <v>459</v>
      </c>
      <c r="B85" s="752"/>
      <c r="C85" s="752"/>
      <c r="D85" s="905"/>
      <c r="E85" s="906"/>
      <c r="F85" s="902" t="s">
        <v>452</v>
      </c>
      <c r="G85" s="903"/>
      <c r="H85" s="904"/>
    </row>
    <row r="86" spans="1:8" ht="15" customHeight="1" x14ac:dyDescent="0.25">
      <c r="A86" s="667" t="s">
        <v>322</v>
      </c>
      <c r="B86" s="668"/>
      <c r="C86" s="668"/>
      <c r="D86" s="668"/>
      <c r="E86" s="668"/>
      <c r="F86" s="668"/>
      <c r="G86" s="668"/>
      <c r="H86" s="669"/>
    </row>
    <row r="87" spans="1:8" ht="15" customHeight="1" x14ac:dyDescent="0.25">
      <c r="A87" s="670" t="s">
        <v>324</v>
      </c>
      <c r="B87" s="671"/>
      <c r="C87" s="671"/>
      <c r="D87" s="671"/>
      <c r="E87" s="671"/>
      <c r="F87" s="671"/>
      <c r="G87" s="671"/>
      <c r="H87" s="672"/>
    </row>
    <row r="88" spans="1:8" ht="15" customHeight="1" x14ac:dyDescent="0.25">
      <c r="A88" s="752" t="s">
        <v>105</v>
      </c>
      <c r="B88" s="752"/>
      <c r="C88" s="510" t="s">
        <v>144</v>
      </c>
      <c r="D88" s="294" t="str">
        <f>F77</f>
        <v/>
      </c>
      <c r="E88" s="516" t="s">
        <v>207</v>
      </c>
      <c r="F88" s="723"/>
      <c r="G88" s="723"/>
      <c r="H88" s="723"/>
    </row>
    <row r="89" spans="1:8" ht="15" customHeight="1" x14ac:dyDescent="0.25">
      <c r="A89" s="752" t="s">
        <v>321</v>
      </c>
      <c r="B89" s="752"/>
      <c r="C89" s="510" t="s">
        <v>146</v>
      </c>
      <c r="D89" s="185"/>
      <c r="E89" s="516"/>
      <c r="F89" s="723"/>
      <c r="G89" s="723"/>
      <c r="H89" s="723"/>
    </row>
    <row r="90" spans="1:8" ht="15" customHeight="1" x14ac:dyDescent="0.25">
      <c r="A90" s="752" t="s">
        <v>190</v>
      </c>
      <c r="B90" s="752"/>
      <c r="C90" s="510" t="s">
        <v>149</v>
      </c>
      <c r="D90" s="185"/>
      <c r="E90" s="516" t="s">
        <v>12</v>
      </c>
      <c r="F90" s="760" t="s">
        <v>468</v>
      </c>
      <c r="G90" s="723"/>
      <c r="H90" s="723"/>
    </row>
    <row r="91" spans="1:8" ht="30.2" customHeight="1" x14ac:dyDescent="0.25">
      <c r="A91" s="752" t="s">
        <v>457</v>
      </c>
      <c r="B91" s="752"/>
      <c r="C91" s="510"/>
      <c r="D91" s="185"/>
      <c r="E91" s="516" t="s">
        <v>12</v>
      </c>
      <c r="F91" s="760" t="s">
        <v>458</v>
      </c>
      <c r="G91" s="760"/>
      <c r="H91" s="760"/>
    </row>
    <row r="92" spans="1:8" ht="15" customHeight="1" x14ac:dyDescent="0.25">
      <c r="A92" s="752" t="s">
        <v>106</v>
      </c>
      <c r="B92" s="752"/>
      <c r="C92" s="510" t="s">
        <v>141</v>
      </c>
      <c r="D92" s="156" t="str">
        <f>IF(ISERROR(IF(D88=0,0,D88/(D90*D89))),"",IF(D88=0,0,D88/(D90*D89)))</f>
        <v/>
      </c>
      <c r="E92" s="516" t="s">
        <v>210</v>
      </c>
      <c r="F92" s="723"/>
      <c r="G92" s="723"/>
      <c r="H92" s="723"/>
    </row>
    <row r="93" spans="1:8" ht="15" customHeight="1" x14ac:dyDescent="0.25">
      <c r="A93" s="752" t="s">
        <v>464</v>
      </c>
      <c r="B93" s="752"/>
      <c r="C93" s="510"/>
      <c r="D93" s="186"/>
      <c r="E93" s="516" t="s">
        <v>210</v>
      </c>
      <c r="F93" s="917" t="s">
        <v>467</v>
      </c>
      <c r="G93" s="917"/>
      <c r="H93" s="917"/>
    </row>
    <row r="94" spans="1:8" ht="15" customHeight="1" x14ac:dyDescent="0.25">
      <c r="A94" s="752" t="s">
        <v>465</v>
      </c>
      <c r="B94" s="752"/>
      <c r="C94" s="507"/>
      <c r="D94" s="98" t="str">
        <f>IF(ISERROR(+D92/D93),"",+D92/D93)</f>
        <v/>
      </c>
      <c r="E94" s="516"/>
      <c r="F94" s="760"/>
      <c r="G94" s="760"/>
      <c r="H94" s="760"/>
    </row>
    <row r="95" spans="1:8" ht="15" customHeight="1" x14ac:dyDescent="0.25">
      <c r="A95" s="752" t="s">
        <v>466</v>
      </c>
      <c r="B95" s="752"/>
      <c r="C95" s="507"/>
      <c r="D95" s="185"/>
      <c r="E95" s="516"/>
      <c r="F95" s="656"/>
      <c r="G95" s="657"/>
      <c r="H95" s="658"/>
    </row>
    <row r="96" spans="1:8" ht="30.2" customHeight="1" x14ac:dyDescent="0.25">
      <c r="A96" s="910" t="s">
        <v>309</v>
      </c>
      <c r="B96" s="910"/>
      <c r="C96" s="507"/>
      <c r="D96" s="294">
        <f>+D95*D93*D90*D89</f>
        <v>0</v>
      </c>
      <c r="E96" s="516" t="s">
        <v>207</v>
      </c>
      <c r="F96" s="918" t="s">
        <v>320</v>
      </c>
      <c r="G96" s="918"/>
      <c r="H96" s="918"/>
    </row>
    <row r="97" spans="1:8" ht="15" customHeight="1" x14ac:dyDescent="0.25">
      <c r="A97" s="919" t="s">
        <v>88</v>
      </c>
      <c r="B97" s="919"/>
      <c r="C97" s="919"/>
      <c r="D97" s="919"/>
      <c r="E97" s="919"/>
      <c r="F97" s="919"/>
      <c r="G97" s="919"/>
      <c r="H97" s="919"/>
    </row>
    <row r="98" spans="1:8" ht="15" customHeight="1" x14ac:dyDescent="0.25">
      <c r="A98" s="515" t="s">
        <v>23</v>
      </c>
      <c r="B98" s="247">
        <f>IF(0.9*D96&gt;=F77,F77,D96*0.9)</f>
        <v>0</v>
      </c>
      <c r="C98" s="538" t="s">
        <v>249</v>
      </c>
      <c r="D98" s="883" t="s">
        <v>323</v>
      </c>
      <c r="E98" s="883"/>
      <c r="F98" s="883"/>
      <c r="G98" s="883"/>
      <c r="H98" s="884"/>
    </row>
    <row r="99" spans="1:8" ht="30.2" customHeight="1" x14ac:dyDescent="0.25">
      <c r="A99" s="532" t="s">
        <v>243</v>
      </c>
      <c r="B99" s="247">
        <f>IF(B98=0,0,F77-B98)</f>
        <v>0</v>
      </c>
      <c r="C99" s="538" t="s">
        <v>249</v>
      </c>
      <c r="D99" s="920" t="s">
        <v>244</v>
      </c>
      <c r="E99" s="920"/>
      <c r="F99" s="920"/>
      <c r="G99" s="920"/>
      <c r="H99" s="920"/>
    </row>
    <row r="109" spans="1:8" x14ac:dyDescent="0.25">
      <c r="A109" s="561" t="s">
        <v>600</v>
      </c>
      <c r="B109" s="562" t="str">
        <f>IF('Total WQv Calculation'!$B$3="","",'Total WQv Calculation'!$B$3)</f>
        <v/>
      </c>
    </row>
    <row r="110" spans="1:8" ht="15" customHeight="1" x14ac:dyDescent="0.25">
      <c r="A110" s="667" t="s">
        <v>79</v>
      </c>
      <c r="B110" s="668"/>
      <c r="C110" s="668"/>
      <c r="D110" s="668"/>
      <c r="E110" s="668"/>
      <c r="F110" s="668"/>
      <c r="G110" s="668"/>
      <c r="H110" s="669"/>
    </row>
    <row r="111" spans="1:8" ht="46.7" customHeight="1" x14ac:dyDescent="0.25">
      <c r="A111" s="504" t="s">
        <v>493</v>
      </c>
      <c r="B111" s="505" t="s">
        <v>610</v>
      </c>
      <c r="C111" s="578" t="s">
        <v>611</v>
      </c>
      <c r="D111" s="505" t="s">
        <v>612</v>
      </c>
      <c r="E111" s="505" t="s">
        <v>7</v>
      </c>
      <c r="F111" s="505" t="s">
        <v>613</v>
      </c>
      <c r="G111" s="505" t="s">
        <v>614</v>
      </c>
      <c r="H111" s="506" t="s">
        <v>29</v>
      </c>
    </row>
    <row r="112" spans="1:8" ht="30.2" customHeight="1" x14ac:dyDescent="0.25">
      <c r="A112" s="213"/>
      <c r="B112" s="576" t="str">
        <f>IF($A112="","",(LOOKUP($A112,'Catchment Summary Table'!$A$4:$A$33,'Catchment Summary Table'!$B$4:$B$33)))</f>
        <v/>
      </c>
      <c r="C112" s="576" t="str">
        <f>IF($A112="","",(LOOKUP($A112,'Catchment Summary Table'!$A$4:$A$33,'Catchment Summary Table'!$C$4:$C$33)))</f>
        <v/>
      </c>
      <c r="D112" s="576" t="str">
        <f>IF($A112="","",(LOOKUP($A112,'Catchment Summary Table'!$A$4:$A$33,'Catchment Summary Table'!$D$4:$D$33)))</f>
        <v/>
      </c>
      <c r="E112" s="576" t="str">
        <f>IF($A112="","",(LOOKUP($A112,'Catchment Summary Table'!$A$4:$A$33,'Catchment Summary Table'!$E$4:$E$33)))</f>
        <v/>
      </c>
      <c r="F112" s="576" t="str">
        <f>IF($A112="","",(LOOKUP($A112,'Catchment Summary Table'!$A$4:$A$33,'Catchment Summary Table'!$F$4:$F$33)))</f>
        <v/>
      </c>
      <c r="G112" s="576" t="str">
        <f>IF(B112="","",IFERROR('Total WQv Calculation'!$B$4,""))</f>
        <v/>
      </c>
      <c r="H112" s="546" t="str">
        <f>IF($A112="","",(LOOKUP($A112,'Catchment Summary Table'!$A$4:$A$33,'Catchment Summary Table'!$G$4:$G$33)))</f>
        <v/>
      </c>
    </row>
    <row r="113" spans="1:8" ht="30.2" customHeight="1" x14ac:dyDescent="0.25">
      <c r="A113" s="914" t="s">
        <v>549</v>
      </c>
      <c r="B113" s="915"/>
      <c r="C113" s="285"/>
      <c r="D113" s="239" t="str">
        <f>IF(ISERROR((C112-C113)/B112),"",(C112-C113)/B112)</f>
        <v/>
      </c>
      <c r="E113" s="162" t="str">
        <f>IF(ISERROR(D113*100*0.009+0.05),"",(D113*100*0.009+0.05))</f>
        <v/>
      </c>
      <c r="F113" s="293" t="str">
        <f>IF(ISERROR(E113*B112*G112/12*43560 ),"",(E113*B112*G112/12*43560 ))</f>
        <v/>
      </c>
      <c r="G113" s="744" t="s">
        <v>550</v>
      </c>
      <c r="H113" s="916"/>
    </row>
    <row r="114" spans="1:8" ht="15" customHeight="1" x14ac:dyDescent="0.25">
      <c r="A114" s="907" t="str">
        <f>IF(C112&gt;1,"Exceeds Maximum Drainage Area"," ")</f>
        <v>Exceeds Maximum Drainage Area</v>
      </c>
      <c r="B114" s="908"/>
      <c r="C114" s="908"/>
      <c r="D114" s="908"/>
      <c r="E114" s="908"/>
      <c r="F114" s="908"/>
      <c r="G114" s="908"/>
      <c r="H114" s="909"/>
    </row>
    <row r="115" spans="1:8" ht="15" customHeight="1" x14ac:dyDescent="0.25">
      <c r="A115" s="667" t="s">
        <v>63</v>
      </c>
      <c r="B115" s="668"/>
      <c r="C115" s="668"/>
      <c r="D115" s="668"/>
      <c r="E115" s="668"/>
      <c r="F115" s="668"/>
      <c r="G115" s="668"/>
      <c r="H115" s="669"/>
    </row>
    <row r="116" spans="1:8" ht="15" customHeight="1" x14ac:dyDescent="0.25">
      <c r="A116" s="670" t="s">
        <v>103</v>
      </c>
      <c r="B116" s="671"/>
      <c r="C116" s="671"/>
      <c r="D116" s="671"/>
      <c r="E116" s="671"/>
      <c r="F116" s="671"/>
      <c r="G116" s="671"/>
      <c r="H116" s="672"/>
    </row>
    <row r="117" spans="1:8" ht="15" customHeight="1" x14ac:dyDescent="0.25">
      <c r="A117" s="910" t="s">
        <v>316</v>
      </c>
      <c r="B117" s="910"/>
      <c r="C117" s="911"/>
      <c r="D117" s="104"/>
      <c r="E117" s="541" t="s">
        <v>317</v>
      </c>
      <c r="F117" s="912" t="str">
        <f>IF(D117="","",IF(D117&gt;=0.5,"Okay","Error, Infiltration rate is too low, practice is not appropriate"))</f>
        <v/>
      </c>
      <c r="G117" s="912"/>
      <c r="H117" s="912"/>
    </row>
    <row r="118" spans="1:8" ht="30.2" customHeight="1" x14ac:dyDescent="0.25">
      <c r="A118" s="910" t="s">
        <v>318</v>
      </c>
      <c r="B118" s="910"/>
      <c r="C118" s="911"/>
      <c r="D118" s="184"/>
      <c r="E118" s="541" t="s">
        <v>319</v>
      </c>
      <c r="F118" s="913" t="s">
        <v>351</v>
      </c>
      <c r="G118" s="913"/>
      <c r="H118" s="913"/>
    </row>
    <row r="119" spans="1:8" ht="15" customHeight="1" x14ac:dyDescent="0.25">
      <c r="A119" s="752" t="s">
        <v>439</v>
      </c>
      <c r="B119" s="752"/>
      <c r="C119" s="727"/>
      <c r="D119" s="514" t="str">
        <f>IF(ISERROR(+F113*D118),"",+F113*D118)</f>
        <v/>
      </c>
      <c r="E119" s="498" t="s">
        <v>207</v>
      </c>
      <c r="F119" s="760"/>
      <c r="G119" s="760"/>
      <c r="H119" s="760"/>
    </row>
    <row r="120" spans="1:8" ht="29.25" customHeight="1" x14ac:dyDescent="0.25">
      <c r="A120" s="752" t="s">
        <v>443</v>
      </c>
      <c r="B120" s="752"/>
      <c r="C120" s="727"/>
      <c r="D120" s="283"/>
      <c r="E120" s="516" t="s">
        <v>207</v>
      </c>
      <c r="F120" s="859" t="str">
        <f>IF(D120&lt;D119,"Pretreatment Inadequate"," ")</f>
        <v xml:space="preserve"> </v>
      </c>
      <c r="G120" s="859"/>
      <c r="H120" s="859"/>
    </row>
    <row r="121" spans="1:8" ht="45.2" customHeight="1" x14ac:dyDescent="0.25">
      <c r="A121" s="752" t="s">
        <v>459</v>
      </c>
      <c r="B121" s="752"/>
      <c r="C121" s="752"/>
      <c r="D121" s="905"/>
      <c r="E121" s="906"/>
      <c r="F121" s="902" t="s">
        <v>452</v>
      </c>
      <c r="G121" s="903"/>
      <c r="H121" s="904"/>
    </row>
    <row r="122" spans="1:8" ht="15" customHeight="1" x14ac:dyDescent="0.25">
      <c r="A122" s="667" t="s">
        <v>322</v>
      </c>
      <c r="B122" s="668"/>
      <c r="C122" s="668"/>
      <c r="D122" s="668"/>
      <c r="E122" s="668"/>
      <c r="F122" s="668"/>
      <c r="G122" s="668"/>
      <c r="H122" s="669"/>
    </row>
    <row r="123" spans="1:8" ht="15" customHeight="1" x14ac:dyDescent="0.25">
      <c r="A123" s="670" t="s">
        <v>324</v>
      </c>
      <c r="B123" s="671"/>
      <c r="C123" s="671"/>
      <c r="D123" s="671"/>
      <c r="E123" s="671"/>
      <c r="F123" s="671"/>
      <c r="G123" s="671"/>
      <c r="H123" s="672"/>
    </row>
    <row r="124" spans="1:8" ht="15" customHeight="1" x14ac:dyDescent="0.25">
      <c r="A124" s="752" t="s">
        <v>105</v>
      </c>
      <c r="B124" s="752"/>
      <c r="C124" s="510" t="s">
        <v>144</v>
      </c>
      <c r="D124" s="294" t="str">
        <f>F113</f>
        <v/>
      </c>
      <c r="E124" s="516" t="s">
        <v>207</v>
      </c>
      <c r="F124" s="723"/>
      <c r="G124" s="723"/>
      <c r="H124" s="723"/>
    </row>
    <row r="125" spans="1:8" ht="15" customHeight="1" x14ac:dyDescent="0.25">
      <c r="A125" s="752" t="s">
        <v>321</v>
      </c>
      <c r="B125" s="752"/>
      <c r="C125" s="510" t="s">
        <v>146</v>
      </c>
      <c r="D125" s="185"/>
      <c r="E125" s="516"/>
      <c r="F125" s="723"/>
      <c r="G125" s="723"/>
      <c r="H125" s="723"/>
    </row>
    <row r="126" spans="1:8" ht="15" customHeight="1" x14ac:dyDescent="0.25">
      <c r="A126" s="752" t="s">
        <v>190</v>
      </c>
      <c r="B126" s="752"/>
      <c r="C126" s="510" t="s">
        <v>149</v>
      </c>
      <c r="D126" s="185"/>
      <c r="E126" s="516" t="s">
        <v>12</v>
      </c>
      <c r="F126" s="760" t="s">
        <v>468</v>
      </c>
      <c r="G126" s="723"/>
      <c r="H126" s="723"/>
    </row>
    <row r="127" spans="1:8" ht="30.2" customHeight="1" x14ac:dyDescent="0.25">
      <c r="A127" s="752" t="s">
        <v>457</v>
      </c>
      <c r="B127" s="752"/>
      <c r="C127" s="510"/>
      <c r="D127" s="185"/>
      <c r="E127" s="516" t="s">
        <v>12</v>
      </c>
      <c r="F127" s="760" t="s">
        <v>458</v>
      </c>
      <c r="G127" s="760"/>
      <c r="H127" s="760"/>
    </row>
    <row r="128" spans="1:8" ht="15" customHeight="1" x14ac:dyDescent="0.25">
      <c r="A128" s="752" t="s">
        <v>106</v>
      </c>
      <c r="B128" s="752"/>
      <c r="C128" s="510" t="s">
        <v>141</v>
      </c>
      <c r="D128" s="156" t="str">
        <f>IF(ISERROR(IF(D124=0,0,D124/(D126*D125))),"",IF(D124=0,0,D124/(D126*D125)))</f>
        <v/>
      </c>
      <c r="E128" s="516" t="s">
        <v>210</v>
      </c>
      <c r="F128" s="723"/>
      <c r="G128" s="723"/>
      <c r="H128" s="723"/>
    </row>
    <row r="129" spans="1:8" ht="15" customHeight="1" x14ac:dyDescent="0.25">
      <c r="A129" s="752" t="s">
        <v>464</v>
      </c>
      <c r="B129" s="752"/>
      <c r="C129" s="510"/>
      <c r="D129" s="186"/>
      <c r="E129" s="516" t="s">
        <v>210</v>
      </c>
      <c r="F129" s="917" t="s">
        <v>467</v>
      </c>
      <c r="G129" s="917"/>
      <c r="H129" s="917"/>
    </row>
    <row r="130" spans="1:8" ht="15" customHeight="1" x14ac:dyDescent="0.25">
      <c r="A130" s="752" t="s">
        <v>465</v>
      </c>
      <c r="B130" s="752"/>
      <c r="C130" s="507"/>
      <c r="D130" s="98" t="str">
        <f>IF(ISERROR(+D128/D129),"",+D128/D129)</f>
        <v/>
      </c>
      <c r="E130" s="516"/>
      <c r="F130" s="760"/>
      <c r="G130" s="760"/>
      <c r="H130" s="760"/>
    </row>
    <row r="131" spans="1:8" ht="15" customHeight="1" x14ac:dyDescent="0.25">
      <c r="A131" s="752" t="s">
        <v>466</v>
      </c>
      <c r="B131" s="752"/>
      <c r="C131" s="507"/>
      <c r="D131" s="185"/>
      <c r="E131" s="516"/>
      <c r="F131" s="656"/>
      <c r="G131" s="657"/>
      <c r="H131" s="658"/>
    </row>
    <row r="132" spans="1:8" ht="30.2" customHeight="1" x14ac:dyDescent="0.25">
      <c r="A132" s="910" t="s">
        <v>309</v>
      </c>
      <c r="B132" s="910"/>
      <c r="C132" s="507"/>
      <c r="D132" s="294">
        <f>+D131*D129*D126*D125</f>
        <v>0</v>
      </c>
      <c r="E132" s="516" t="s">
        <v>207</v>
      </c>
      <c r="F132" s="918" t="s">
        <v>320</v>
      </c>
      <c r="G132" s="918"/>
      <c r="H132" s="918"/>
    </row>
    <row r="133" spans="1:8" ht="15" customHeight="1" x14ac:dyDescent="0.25">
      <c r="A133" s="850" t="s">
        <v>88</v>
      </c>
      <c r="B133" s="850"/>
      <c r="C133" s="850"/>
      <c r="D133" s="850"/>
      <c r="E133" s="850"/>
      <c r="F133" s="850"/>
      <c r="G133" s="850"/>
      <c r="H133" s="850"/>
    </row>
    <row r="134" spans="1:8" ht="15" customHeight="1" x14ac:dyDescent="0.25">
      <c r="A134" s="515" t="s">
        <v>23</v>
      </c>
      <c r="B134" s="247">
        <f>IF(0.9*D132&gt;=F113,F113,D132*0.9)</f>
        <v>0</v>
      </c>
      <c r="C134" s="538" t="s">
        <v>249</v>
      </c>
      <c r="D134" s="883" t="s">
        <v>323</v>
      </c>
      <c r="E134" s="883"/>
      <c r="F134" s="883"/>
      <c r="G134" s="883"/>
      <c r="H134" s="884"/>
    </row>
    <row r="135" spans="1:8" ht="30.2" customHeight="1" x14ac:dyDescent="0.25">
      <c r="A135" s="532" t="s">
        <v>243</v>
      </c>
      <c r="B135" s="247">
        <f>IF(B134=0,0,F113-B134)</f>
        <v>0</v>
      </c>
      <c r="C135" s="538" t="s">
        <v>249</v>
      </c>
      <c r="D135" s="920" t="s">
        <v>244</v>
      </c>
      <c r="E135" s="920"/>
      <c r="F135" s="920"/>
      <c r="G135" s="920"/>
      <c r="H135" s="920"/>
    </row>
    <row r="144" spans="1:8" ht="15" customHeight="1" x14ac:dyDescent="0.25">
      <c r="A144" s="782" t="s">
        <v>517</v>
      </c>
      <c r="B144" s="782"/>
      <c r="C144" s="782"/>
      <c r="D144" s="315">
        <f>SUM(B26,B62,B98,B134)</f>
        <v>0</v>
      </c>
    </row>
    <row r="145" spans="1:4" ht="15" customHeight="1" x14ac:dyDescent="0.25">
      <c r="A145" s="782" t="s">
        <v>5</v>
      </c>
      <c r="B145" s="782"/>
      <c r="C145" s="782"/>
      <c r="D145" s="315">
        <f>SUM(B4,B40,B76,B112)</f>
        <v>0</v>
      </c>
    </row>
    <row r="146" spans="1:4" ht="15" customHeight="1" x14ac:dyDescent="0.25">
      <c r="A146" s="782" t="s">
        <v>521</v>
      </c>
      <c r="B146" s="782"/>
      <c r="C146" s="782"/>
      <c r="D146" s="581">
        <f>SUM(IFERROR(C4-C5,0),IFERROR(C40-C41,0),IFERROR(C76-C77,0),IFERROR(C112-C113,0))</f>
        <v>0</v>
      </c>
    </row>
    <row r="147" spans="1:4" ht="15" customHeight="1" x14ac:dyDescent="0.25">
      <c r="A147" s="782" t="s">
        <v>300</v>
      </c>
      <c r="B147" s="782"/>
      <c r="C147" s="782"/>
      <c r="D147" s="315">
        <f>SUM(B27,B63,B99,B135)</f>
        <v>0</v>
      </c>
    </row>
    <row r="148" spans="1:4" ht="15" customHeight="1" x14ac:dyDescent="0.25">
      <c r="A148" s="783" t="s">
        <v>553</v>
      </c>
      <c r="B148" s="783"/>
      <c r="C148" s="783"/>
      <c r="D148" s="315">
        <f>SUM(C5,C41,C77,C113)</f>
        <v>0</v>
      </c>
    </row>
  </sheetData>
  <sheetProtection password="C7D7" sheet="1" objects="1" scenarios="1" formatColumns="0" formatRows="0"/>
  <mergeCells count="165">
    <mergeCell ref="A144:C144"/>
    <mergeCell ref="A145:C145"/>
    <mergeCell ref="A146:C146"/>
    <mergeCell ref="A147:C147"/>
    <mergeCell ref="A148:C148"/>
    <mergeCell ref="D134:H134"/>
    <mergeCell ref="D135:H135"/>
    <mergeCell ref="A131:B131"/>
    <mergeCell ref="F131:H131"/>
    <mergeCell ref="A132:B132"/>
    <mergeCell ref="F132:H132"/>
    <mergeCell ref="A133:H133"/>
    <mergeCell ref="A128:B128"/>
    <mergeCell ref="F128:H128"/>
    <mergeCell ref="A129:B129"/>
    <mergeCell ref="F129:H129"/>
    <mergeCell ref="A130:B130"/>
    <mergeCell ref="F130:H130"/>
    <mergeCell ref="A125:B125"/>
    <mergeCell ref="F125:H125"/>
    <mergeCell ref="A126:B126"/>
    <mergeCell ref="F126:H126"/>
    <mergeCell ref="A127:B127"/>
    <mergeCell ref="F127:H127"/>
    <mergeCell ref="A122:H122"/>
    <mergeCell ref="A123:H123"/>
    <mergeCell ref="A124:B124"/>
    <mergeCell ref="F124:H124"/>
    <mergeCell ref="A121:C121"/>
    <mergeCell ref="D121:E121"/>
    <mergeCell ref="F121:H121"/>
    <mergeCell ref="A118:C118"/>
    <mergeCell ref="F118:H118"/>
    <mergeCell ref="A119:C119"/>
    <mergeCell ref="F119:H119"/>
    <mergeCell ref="A120:C120"/>
    <mergeCell ref="A115:H115"/>
    <mergeCell ref="A117:C117"/>
    <mergeCell ref="F117:H117"/>
    <mergeCell ref="A116:H116"/>
    <mergeCell ref="F120:H120"/>
    <mergeCell ref="D98:H98"/>
    <mergeCell ref="D99:H99"/>
    <mergeCell ref="A110:H110"/>
    <mergeCell ref="A114:H114"/>
    <mergeCell ref="A95:B95"/>
    <mergeCell ref="F95:H95"/>
    <mergeCell ref="A96:B96"/>
    <mergeCell ref="F96:H96"/>
    <mergeCell ref="A97:H97"/>
    <mergeCell ref="A113:B113"/>
    <mergeCell ref="G113:H113"/>
    <mergeCell ref="A92:B92"/>
    <mergeCell ref="F92:H92"/>
    <mergeCell ref="A93:B93"/>
    <mergeCell ref="F93:H93"/>
    <mergeCell ref="A94:B94"/>
    <mergeCell ref="F94:H94"/>
    <mergeCell ref="A89:B89"/>
    <mergeCell ref="F89:H89"/>
    <mergeCell ref="A90:B90"/>
    <mergeCell ref="F90:H90"/>
    <mergeCell ref="A91:B91"/>
    <mergeCell ref="F91:H91"/>
    <mergeCell ref="A86:H86"/>
    <mergeCell ref="A87:H87"/>
    <mergeCell ref="A88:B88"/>
    <mergeCell ref="F88:H88"/>
    <mergeCell ref="A82:C82"/>
    <mergeCell ref="F82:H82"/>
    <mergeCell ref="A83:C83"/>
    <mergeCell ref="F83:H83"/>
    <mergeCell ref="A84:C84"/>
    <mergeCell ref="F84:H84"/>
    <mergeCell ref="A85:C85"/>
    <mergeCell ref="D85:E85"/>
    <mergeCell ref="F85:H85"/>
    <mergeCell ref="A78:H78"/>
    <mergeCell ref="A79:H79"/>
    <mergeCell ref="A81:C81"/>
    <mergeCell ref="F81:H81"/>
    <mergeCell ref="A61:H61"/>
    <mergeCell ref="D62:H62"/>
    <mergeCell ref="D63:H63"/>
    <mergeCell ref="A74:H74"/>
    <mergeCell ref="A77:B77"/>
    <mergeCell ref="G77:H77"/>
    <mergeCell ref="A80:H80"/>
    <mergeCell ref="A58:B58"/>
    <mergeCell ref="F58:H58"/>
    <mergeCell ref="A59:B59"/>
    <mergeCell ref="F59:H59"/>
    <mergeCell ref="A60:B60"/>
    <mergeCell ref="F60:H60"/>
    <mergeCell ref="A55:B55"/>
    <mergeCell ref="F55:H55"/>
    <mergeCell ref="A56:B56"/>
    <mergeCell ref="F56:H56"/>
    <mergeCell ref="A57:B57"/>
    <mergeCell ref="F57:H57"/>
    <mergeCell ref="A52:B52"/>
    <mergeCell ref="F52:H52"/>
    <mergeCell ref="A53:B53"/>
    <mergeCell ref="F53:H53"/>
    <mergeCell ref="A54:B54"/>
    <mergeCell ref="F54:H54"/>
    <mergeCell ref="A48:C48"/>
    <mergeCell ref="A50:H50"/>
    <mergeCell ref="A51:H51"/>
    <mergeCell ref="F48:H48"/>
    <mergeCell ref="A49:C49"/>
    <mergeCell ref="D49:E49"/>
    <mergeCell ref="F49:H49"/>
    <mergeCell ref="A45:C45"/>
    <mergeCell ref="F45:H45"/>
    <mergeCell ref="A46:C46"/>
    <mergeCell ref="F46:H46"/>
    <mergeCell ref="A47:C47"/>
    <mergeCell ref="F47:H47"/>
    <mergeCell ref="A38:H38"/>
    <mergeCell ref="A42:H42"/>
    <mergeCell ref="A43:H43"/>
    <mergeCell ref="A41:B41"/>
    <mergeCell ref="G41:H41"/>
    <mergeCell ref="A44:H44"/>
    <mergeCell ref="D27:H27"/>
    <mergeCell ref="D26:H26"/>
    <mergeCell ref="A14:H14"/>
    <mergeCell ref="A15:H15"/>
    <mergeCell ref="F17:H17"/>
    <mergeCell ref="F16:H16"/>
    <mergeCell ref="A13:C13"/>
    <mergeCell ref="A16:B16"/>
    <mergeCell ref="A17:B17"/>
    <mergeCell ref="A18:B18"/>
    <mergeCell ref="A19:B19"/>
    <mergeCell ref="A20:B20"/>
    <mergeCell ref="A21:B21"/>
    <mergeCell ref="A22:B22"/>
    <mergeCell ref="F18:H18"/>
    <mergeCell ref="F19:H19"/>
    <mergeCell ref="F20:H20"/>
    <mergeCell ref="F21:H21"/>
    <mergeCell ref="F22:H22"/>
    <mergeCell ref="F24:H24"/>
    <mergeCell ref="A24:B24"/>
    <mergeCell ref="A25:H25"/>
    <mergeCell ref="A23:B23"/>
    <mergeCell ref="F23:H23"/>
    <mergeCell ref="F13:H13"/>
    <mergeCell ref="D13:E13"/>
    <mergeCell ref="A2:H2"/>
    <mergeCell ref="A6:H6"/>
    <mergeCell ref="A7:H7"/>
    <mergeCell ref="A8:H8"/>
    <mergeCell ref="A9:C9"/>
    <mergeCell ref="A10:C10"/>
    <mergeCell ref="A11:C11"/>
    <mergeCell ref="A12:C12"/>
    <mergeCell ref="F9:H9"/>
    <mergeCell ref="F10:H10"/>
    <mergeCell ref="F11:H11"/>
    <mergeCell ref="F12:H12"/>
    <mergeCell ref="A5:B5"/>
    <mergeCell ref="G5:H5"/>
  </mergeCells>
  <dataValidations count="1">
    <dataValidation type="list" showInputMessage="1" showErrorMessage="1" promptTitle="Choose Area" sqref="A112 A4 A40 A76">
      <formula1>CatchNo</formula1>
    </dataValidation>
  </dataValidations>
  <pageMargins left="0.7" right="0.7" top="0.75" bottom="0.75" header="0.3" footer="0.3"/>
  <pageSetup orientation="portrait" r:id="rId1"/>
  <headerFooter>
    <oddHeader>&amp;C&amp;18Dry Well Worksheet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33"/>
  <sheetViews>
    <sheetView view="pageLayout" topLeftCell="A122" zoomScaleNormal="100" workbookViewId="0">
      <selection activeCell="D132" sqref="D132"/>
    </sheetView>
  </sheetViews>
  <sheetFormatPr defaultColWidth="9.140625" defaultRowHeight="15" x14ac:dyDescent="0.25"/>
  <cols>
    <col min="1" max="1" width="12.7109375" style="529" customWidth="1"/>
    <col min="2" max="2" width="11.42578125" style="529" customWidth="1"/>
    <col min="3" max="4" width="10.7109375" style="529" customWidth="1"/>
    <col min="5" max="6" width="7.5703125" style="529" customWidth="1"/>
    <col min="7" max="7" width="12.140625" style="529" customWidth="1"/>
    <col min="8" max="8" width="15.28515625" style="529" customWidth="1"/>
    <col min="9" max="9" width="29.7109375" style="529" customWidth="1"/>
    <col min="10" max="16384" width="9.140625" style="529"/>
  </cols>
  <sheetData>
    <row r="1" spans="1:8" ht="15" customHeight="1" x14ac:dyDescent="0.25">
      <c r="A1" s="561" t="s">
        <v>600</v>
      </c>
      <c r="B1" s="562" t="str">
        <f>IF('Total WQv Calculation'!$B$3="","",'Total WQv Calculation'!$B$3)</f>
        <v/>
      </c>
    </row>
    <row r="2" spans="1:8" ht="15" customHeight="1" x14ac:dyDescent="0.25">
      <c r="A2" s="667" t="s">
        <v>79</v>
      </c>
      <c r="B2" s="668"/>
      <c r="C2" s="668"/>
      <c r="D2" s="668"/>
      <c r="E2" s="668"/>
      <c r="F2" s="668"/>
      <c r="G2" s="668"/>
      <c r="H2" s="669"/>
    </row>
    <row r="3" spans="1:8" ht="46.7" customHeight="1" x14ac:dyDescent="0.25">
      <c r="A3" s="504" t="s">
        <v>493</v>
      </c>
      <c r="B3" s="505" t="s">
        <v>610</v>
      </c>
      <c r="C3" s="578" t="s">
        <v>611</v>
      </c>
      <c r="D3" s="505" t="s">
        <v>612</v>
      </c>
      <c r="E3" s="505" t="s">
        <v>7</v>
      </c>
      <c r="F3" s="505" t="s">
        <v>613</v>
      </c>
      <c r="G3" s="505" t="s">
        <v>614</v>
      </c>
      <c r="H3" s="506" t="s">
        <v>29</v>
      </c>
    </row>
    <row r="4" spans="1:8" ht="30.2" customHeight="1" x14ac:dyDescent="0.25">
      <c r="A4" s="213"/>
      <c r="B4" s="576" t="str">
        <f>IF($A4="","",(LOOKUP($A4,'Catchment Summary Table'!$A$4:$A$33,'Catchment Summary Table'!$B$4:$B$33)))</f>
        <v/>
      </c>
      <c r="C4" s="576" t="str">
        <f>IF($A4="","",(LOOKUP($A4,'Catchment Summary Table'!$A$4:$A$33,'Catchment Summary Table'!$C$4:$C$33)))</f>
        <v/>
      </c>
      <c r="D4" s="576" t="str">
        <f>IF($A4="","",(LOOKUP($A4,'Catchment Summary Table'!$A$4:$A$33,'Catchment Summary Table'!$D$4:$D$33)))</f>
        <v/>
      </c>
      <c r="E4" s="576" t="str">
        <f>IF($A4="","",(LOOKUP($A4,'Catchment Summary Table'!$A$4:$A$33,'Catchment Summary Table'!$E$4:$E$33)))</f>
        <v/>
      </c>
      <c r="F4" s="576" t="str">
        <f>IF($A4="","",(LOOKUP($A4,'Catchment Summary Table'!$A$4:$A$33,'Catchment Summary Table'!$F$4:$F$33)))</f>
        <v/>
      </c>
      <c r="G4" s="576" t="str">
        <f>IF(B4="","",IFERROR('Total WQv Calculation'!$B$4,""))</f>
        <v/>
      </c>
      <c r="H4" s="546" t="str">
        <f>IF($A4="","",(LOOKUP($A4,'Catchment Summary Table'!$A$4:$A$33,'Catchment Summary Table'!$G$4:$G$33)))</f>
        <v/>
      </c>
    </row>
    <row r="5" spans="1:8" hidden="1" x14ac:dyDescent="0.25">
      <c r="A5" s="616"/>
      <c r="B5" s="617"/>
      <c r="C5" s="617"/>
      <c r="D5" s="618"/>
      <c r="E5" s="619"/>
      <c r="F5" s="620"/>
      <c r="G5" s="501"/>
      <c r="H5" s="617"/>
    </row>
    <row r="6" spans="1:8" x14ac:dyDescent="0.25">
      <c r="A6" s="840" t="s">
        <v>63</v>
      </c>
      <c r="B6" s="840"/>
      <c r="C6" s="840"/>
      <c r="D6" s="840"/>
      <c r="E6" s="840"/>
      <c r="F6" s="840"/>
      <c r="G6" s="840"/>
      <c r="H6" s="840"/>
    </row>
    <row r="7" spans="1:8" ht="30.2" customHeight="1" x14ac:dyDescent="0.25">
      <c r="A7" s="844" t="s">
        <v>368</v>
      </c>
      <c r="B7" s="844"/>
      <c r="C7" s="844"/>
      <c r="D7" s="95"/>
      <c r="E7" s="536" t="s">
        <v>357</v>
      </c>
      <c r="F7" s="760" t="str">
        <f>IF(D7="Yes", "this practice is not applicable"," ")</f>
        <v xml:space="preserve"> </v>
      </c>
      <c r="G7" s="760"/>
      <c r="H7" s="760"/>
    </row>
    <row r="8" spans="1:8" ht="15" customHeight="1" x14ac:dyDescent="0.25">
      <c r="A8" s="844" t="s">
        <v>380</v>
      </c>
      <c r="B8" s="844"/>
      <c r="C8" s="844"/>
      <c r="D8" s="95"/>
      <c r="E8" s="536" t="s">
        <v>357</v>
      </c>
      <c r="F8" s="814"/>
      <c r="G8" s="814"/>
      <c r="H8" s="814"/>
    </row>
    <row r="9" spans="1:8" ht="45.2" customHeight="1" x14ac:dyDescent="0.25">
      <c r="A9" s="844" t="s">
        <v>381</v>
      </c>
      <c r="B9" s="844"/>
      <c r="C9" s="844"/>
      <c r="D9" s="95"/>
      <c r="E9" s="536" t="s">
        <v>357</v>
      </c>
      <c r="F9" s="814"/>
      <c r="G9" s="814"/>
      <c r="H9" s="814"/>
    </row>
    <row r="10" spans="1:8" ht="30.2" customHeight="1" x14ac:dyDescent="0.25">
      <c r="A10" s="844" t="s">
        <v>382</v>
      </c>
      <c r="B10" s="844"/>
      <c r="C10" s="844"/>
      <c r="D10" s="95"/>
      <c r="E10" s="536" t="s">
        <v>357</v>
      </c>
      <c r="F10" s="814"/>
      <c r="G10" s="814"/>
      <c r="H10" s="814"/>
    </row>
    <row r="11" spans="1:8" ht="15" customHeight="1" x14ac:dyDescent="0.25">
      <c r="A11" s="844" t="s">
        <v>383</v>
      </c>
      <c r="B11" s="844"/>
      <c r="C11" s="844"/>
      <c r="D11" s="95"/>
      <c r="E11" s="536" t="s">
        <v>357</v>
      </c>
      <c r="F11" s="814"/>
      <c r="G11" s="814"/>
      <c r="H11" s="814"/>
    </row>
    <row r="12" spans="1:8" ht="15" customHeight="1" x14ac:dyDescent="0.25">
      <c r="A12" s="844" t="s">
        <v>354</v>
      </c>
      <c r="B12" s="844"/>
      <c r="C12" s="844"/>
      <c r="D12" s="95"/>
      <c r="E12" s="536" t="s">
        <v>357</v>
      </c>
      <c r="F12" s="814" t="s">
        <v>384</v>
      </c>
      <c r="G12" s="814"/>
      <c r="H12" s="814"/>
    </row>
    <row r="13" spans="1:8" ht="15" customHeight="1" x14ac:dyDescent="0.25">
      <c r="A13" s="844" t="s">
        <v>355</v>
      </c>
      <c r="B13" s="844"/>
      <c r="C13" s="844"/>
      <c r="D13" s="95"/>
      <c r="E13" s="536" t="s">
        <v>357</v>
      </c>
      <c r="F13" s="814" t="s">
        <v>385</v>
      </c>
      <c r="G13" s="814"/>
      <c r="H13" s="814"/>
    </row>
    <row r="14" spans="1:8" ht="30.2" customHeight="1" x14ac:dyDescent="0.25">
      <c r="A14" s="844" t="s">
        <v>356</v>
      </c>
      <c r="B14" s="844"/>
      <c r="C14" s="844"/>
      <c r="D14" s="509"/>
      <c r="E14" s="523"/>
      <c r="F14" s="814" t="s">
        <v>367</v>
      </c>
      <c r="G14" s="814"/>
      <c r="H14" s="814"/>
    </row>
    <row r="15" spans="1:8" ht="15" customHeight="1" x14ac:dyDescent="0.25">
      <c r="A15" s="844" t="s">
        <v>390</v>
      </c>
      <c r="B15" s="844"/>
      <c r="C15" s="844"/>
      <c r="D15" s="509"/>
      <c r="E15" s="523" t="s">
        <v>11</v>
      </c>
      <c r="F15" s="814" t="s">
        <v>391</v>
      </c>
      <c r="G15" s="814"/>
      <c r="H15" s="814"/>
    </row>
    <row r="16" spans="1:8" ht="15" customHeight="1" x14ac:dyDescent="0.25">
      <c r="A16" s="844" t="s">
        <v>393</v>
      </c>
      <c r="B16" s="844"/>
      <c r="C16" s="844"/>
      <c r="D16" s="509"/>
      <c r="E16" s="523" t="s">
        <v>11</v>
      </c>
      <c r="F16" s="814" t="s">
        <v>388</v>
      </c>
      <c r="G16" s="814"/>
      <c r="H16" s="814"/>
    </row>
    <row r="17" spans="1:8" ht="15" customHeight="1" x14ac:dyDescent="0.25">
      <c r="A17" s="844" t="s">
        <v>364</v>
      </c>
      <c r="B17" s="844"/>
      <c r="C17" s="844"/>
      <c r="D17" s="509"/>
      <c r="E17" s="523" t="s">
        <v>11</v>
      </c>
      <c r="F17" s="814" t="s">
        <v>389</v>
      </c>
      <c r="G17" s="814"/>
      <c r="H17" s="814"/>
    </row>
    <row r="18" spans="1:8" ht="30.2" customHeight="1" x14ac:dyDescent="0.25">
      <c r="A18" s="844" t="s">
        <v>372</v>
      </c>
      <c r="B18" s="844"/>
      <c r="C18" s="844"/>
      <c r="D18" s="509"/>
      <c r="E18" s="523" t="s">
        <v>12</v>
      </c>
      <c r="F18" s="814" t="s">
        <v>360</v>
      </c>
      <c r="G18" s="814"/>
      <c r="H18" s="814"/>
    </row>
    <row r="19" spans="1:8" ht="30.2" customHeight="1" x14ac:dyDescent="0.25">
      <c r="A19" s="844" t="s">
        <v>371</v>
      </c>
      <c r="B19" s="844"/>
      <c r="C19" s="844"/>
      <c r="D19" s="509"/>
      <c r="E19" s="516" t="s">
        <v>12</v>
      </c>
      <c r="F19" s="760" t="s">
        <v>365</v>
      </c>
      <c r="G19" s="760"/>
      <c r="H19" s="760"/>
    </row>
    <row r="20" spans="1:8" ht="30.2" customHeight="1" x14ac:dyDescent="0.25">
      <c r="A20" s="844" t="s">
        <v>373</v>
      </c>
      <c r="B20" s="844"/>
      <c r="C20" s="844"/>
      <c r="D20" s="510">
        <f>150-D19</f>
        <v>150</v>
      </c>
      <c r="E20" s="516" t="s">
        <v>12</v>
      </c>
      <c r="F20" s="921"/>
      <c r="G20" s="921"/>
      <c r="H20" s="921"/>
    </row>
    <row r="21" spans="1:8" ht="15" customHeight="1" x14ac:dyDescent="0.25">
      <c r="A21" s="844" t="s">
        <v>369</v>
      </c>
      <c r="B21" s="844"/>
      <c r="C21" s="844"/>
      <c r="D21" s="509"/>
      <c r="E21" s="516"/>
      <c r="F21" s="760"/>
      <c r="G21" s="760"/>
      <c r="H21" s="760"/>
    </row>
    <row r="22" spans="1:8" ht="60.6" customHeight="1" x14ac:dyDescent="0.25">
      <c r="A22" s="867" t="s">
        <v>392</v>
      </c>
      <c r="B22" s="844"/>
      <c r="C22" s="844"/>
      <c r="D22" s="509"/>
      <c r="E22" s="523" t="s">
        <v>12</v>
      </c>
      <c r="F22" s="814" t="s">
        <v>370</v>
      </c>
      <c r="G22" s="814"/>
      <c r="H22" s="814"/>
    </row>
    <row r="23" spans="1:8" ht="30.2" customHeight="1" x14ac:dyDescent="0.25">
      <c r="A23" s="867" t="s">
        <v>538</v>
      </c>
      <c r="B23" s="867"/>
      <c r="C23" s="867"/>
      <c r="D23" s="95"/>
      <c r="E23" s="814"/>
      <c r="F23" s="814"/>
      <c r="G23" s="814"/>
      <c r="H23" s="814"/>
    </row>
    <row r="24" spans="1:8" ht="15" customHeight="1" x14ac:dyDescent="0.25">
      <c r="A24" s="869" t="s">
        <v>374</v>
      </c>
      <c r="B24" s="869"/>
      <c r="C24" s="869"/>
      <c r="D24" s="869"/>
      <c r="E24" s="869"/>
      <c r="F24" s="869"/>
      <c r="G24" s="869"/>
      <c r="H24" s="869"/>
    </row>
    <row r="25" spans="1:8" ht="30.2" customHeight="1" x14ac:dyDescent="0.25">
      <c r="A25" s="922" t="s">
        <v>377</v>
      </c>
      <c r="B25" s="922"/>
      <c r="C25" s="922"/>
      <c r="D25" s="291">
        <f>IF(D23="Yes",B4,0)</f>
        <v>0</v>
      </c>
      <c r="E25" s="923" t="s">
        <v>566</v>
      </c>
      <c r="F25" s="923"/>
      <c r="G25" s="923"/>
      <c r="H25" s="923"/>
    </row>
    <row r="26" spans="1:8" ht="30.2" customHeight="1" x14ac:dyDescent="0.25">
      <c r="A26" s="922" t="s">
        <v>377</v>
      </c>
      <c r="B26" s="922"/>
      <c r="C26" s="922"/>
      <c r="D26" s="291">
        <f>IF(D23="Yes",C4,0)</f>
        <v>0</v>
      </c>
      <c r="E26" s="923" t="s">
        <v>567</v>
      </c>
      <c r="F26" s="923"/>
      <c r="G26" s="923"/>
      <c r="H26" s="923"/>
    </row>
    <row r="27" spans="1:8" s="521" customFormat="1" ht="15" customHeight="1" x14ac:dyDescent="0.25">
      <c r="A27" s="220"/>
      <c r="B27" s="220"/>
      <c r="C27" s="220"/>
      <c r="D27" s="221"/>
      <c r="E27" s="222"/>
      <c r="F27" s="222"/>
      <c r="G27" s="222"/>
      <c r="H27" s="222"/>
    </row>
    <row r="28" spans="1:8" s="521" customFormat="1" ht="15" customHeight="1" x14ac:dyDescent="0.25">
      <c r="A28" s="220"/>
      <c r="B28" s="220"/>
      <c r="C28" s="220"/>
      <c r="D28" s="221"/>
      <c r="E28" s="222"/>
      <c r="F28" s="222"/>
      <c r="G28" s="222"/>
      <c r="H28" s="222"/>
    </row>
    <row r="29" spans="1:8" s="521" customFormat="1" ht="15" customHeight="1" x14ac:dyDescent="0.25">
      <c r="A29" s="220"/>
      <c r="B29" s="220"/>
      <c r="C29" s="220"/>
      <c r="D29" s="221"/>
      <c r="E29" s="222"/>
      <c r="F29" s="222"/>
      <c r="G29" s="222"/>
      <c r="H29" s="222"/>
    </row>
    <row r="30" spans="1:8" x14ac:dyDescent="0.25">
      <c r="A30" s="501" t="b">
        <f>IF(OR(D21="C",D21="D"),OR(IF(AND(D17&lt;=8,D22&gt;=60),TRUE(),FALSE()),IF(AND(D17&gt;8,D22&gt;=90),TRUE(),FALSE()),IF(AND(D17&gt;12,D22&gt;=120),TRUE(),FALSE())),OR(IF(AND(D17&lt;=8,D22&gt;=50),TRUE(),FALSE()),IF(AND(D17&gt;8,D22&gt;=75),TRUE(),FALSE()),IF(AND(D17&gt;12,D22&gt;=100),TRUE(),FALSE())))</f>
        <v>0</v>
      </c>
      <c r="B30" s="156"/>
      <c r="C30" s="501"/>
      <c r="D30" s="501"/>
      <c r="E30" s="501"/>
      <c r="F30" s="501"/>
      <c r="G30" s="501"/>
      <c r="H30" s="501"/>
    </row>
    <row r="31" spans="1:8" x14ac:dyDescent="0.25">
      <c r="A31" s="561" t="s">
        <v>600</v>
      </c>
      <c r="B31" s="562" t="str">
        <f>IF('Total WQv Calculation'!$B$3="","",'Total WQv Calculation'!$B$3)</f>
        <v/>
      </c>
      <c r="C31" s="501"/>
      <c r="D31" s="501"/>
      <c r="E31" s="501"/>
      <c r="F31" s="501"/>
      <c r="G31" s="501"/>
      <c r="H31" s="501"/>
    </row>
    <row r="32" spans="1:8" x14ac:dyDescent="0.25">
      <c r="A32" s="667" t="s">
        <v>79</v>
      </c>
      <c r="B32" s="668"/>
      <c r="C32" s="668"/>
      <c r="D32" s="668"/>
      <c r="E32" s="668"/>
      <c r="F32" s="668"/>
      <c r="G32" s="668"/>
      <c r="H32" s="669"/>
    </row>
    <row r="33" spans="1:8" ht="46.7" customHeight="1" x14ac:dyDescent="0.25">
      <c r="A33" s="504" t="s">
        <v>493</v>
      </c>
      <c r="B33" s="505" t="s">
        <v>610</v>
      </c>
      <c r="C33" s="578" t="s">
        <v>611</v>
      </c>
      <c r="D33" s="505" t="s">
        <v>612</v>
      </c>
      <c r="E33" s="505" t="s">
        <v>7</v>
      </c>
      <c r="F33" s="505" t="s">
        <v>613</v>
      </c>
      <c r="G33" s="505" t="s">
        <v>614</v>
      </c>
      <c r="H33" s="506" t="s">
        <v>29</v>
      </c>
    </row>
    <row r="34" spans="1:8" ht="30.2" customHeight="1" x14ac:dyDescent="0.25">
      <c r="A34" s="213"/>
      <c r="B34" s="576" t="str">
        <f>IF($A34="","",(LOOKUP($A34,'Catchment Summary Table'!$A$4:$A$33,'Catchment Summary Table'!$B$4:$B$33)))</f>
        <v/>
      </c>
      <c r="C34" s="576" t="str">
        <f>IF($A34="","",(LOOKUP($A34,'Catchment Summary Table'!$A$4:$A$33,'Catchment Summary Table'!$C$4:$C$33)))</f>
        <v/>
      </c>
      <c r="D34" s="576" t="str">
        <f>IF($A34="","",(LOOKUP($A34,'Catchment Summary Table'!$A$4:$A$33,'Catchment Summary Table'!$D$4:$D$33)))</f>
        <v/>
      </c>
      <c r="E34" s="576" t="str">
        <f>IF($A34="","",(LOOKUP($A34,'Catchment Summary Table'!$A$4:$A$33,'Catchment Summary Table'!$E$4:$E$33)))</f>
        <v/>
      </c>
      <c r="F34" s="576" t="str">
        <f>IF($A34="","",(LOOKUP($A34,'Catchment Summary Table'!$A$4:$A$33,'Catchment Summary Table'!$F$4:$F$33)))</f>
        <v/>
      </c>
      <c r="G34" s="576" t="str">
        <f>IF(B34="","",IFERROR('Total WQv Calculation'!$B$4,""))</f>
        <v/>
      </c>
      <c r="H34" s="546" t="str">
        <f>IF($A34="","",(LOOKUP($A34,'Catchment Summary Table'!$A$4:$A$33,'Catchment Summary Table'!$G$4:$G$33)))</f>
        <v/>
      </c>
    </row>
    <row r="35" spans="1:8" hidden="1" x14ac:dyDescent="0.25">
      <c r="A35" s="847"/>
      <c r="B35" s="847"/>
      <c r="C35" s="847"/>
      <c r="D35" s="847"/>
      <c r="E35" s="847"/>
      <c r="F35" s="847"/>
      <c r="G35" s="847"/>
      <c r="H35" s="847"/>
    </row>
    <row r="36" spans="1:8" x14ac:dyDescent="0.25">
      <c r="A36" s="840" t="s">
        <v>63</v>
      </c>
      <c r="B36" s="840"/>
      <c r="C36" s="840"/>
      <c r="D36" s="840"/>
      <c r="E36" s="840"/>
      <c r="F36" s="840"/>
      <c r="G36" s="840"/>
      <c r="H36" s="840"/>
    </row>
    <row r="37" spans="1:8" hidden="1" x14ac:dyDescent="0.25">
      <c r="A37" s="850"/>
      <c r="B37" s="850"/>
      <c r="C37" s="850"/>
      <c r="D37" s="850"/>
      <c r="E37" s="850"/>
      <c r="F37" s="850"/>
      <c r="G37" s="850"/>
      <c r="H37" s="850"/>
    </row>
    <row r="38" spans="1:8" ht="30.2" customHeight="1" x14ac:dyDescent="0.25">
      <c r="A38" s="844" t="s">
        <v>368</v>
      </c>
      <c r="B38" s="844"/>
      <c r="C38" s="844"/>
      <c r="D38" s="95"/>
      <c r="E38" s="536" t="s">
        <v>357</v>
      </c>
      <c r="F38" s="760" t="str">
        <f>IF(D38="Yes", "this practice is not applicable"," ")</f>
        <v xml:space="preserve"> </v>
      </c>
      <c r="G38" s="760"/>
      <c r="H38" s="760"/>
    </row>
    <row r="39" spans="1:8" ht="15" customHeight="1" x14ac:dyDescent="0.25">
      <c r="A39" s="844" t="s">
        <v>380</v>
      </c>
      <c r="B39" s="844"/>
      <c r="C39" s="844"/>
      <c r="D39" s="95"/>
      <c r="E39" s="536" t="s">
        <v>357</v>
      </c>
      <c r="F39" s="814"/>
      <c r="G39" s="814"/>
      <c r="H39" s="814"/>
    </row>
    <row r="40" spans="1:8" ht="30.2" customHeight="1" x14ac:dyDescent="0.25">
      <c r="A40" s="844" t="s">
        <v>381</v>
      </c>
      <c r="B40" s="844"/>
      <c r="C40" s="844"/>
      <c r="D40" s="95"/>
      <c r="E40" s="536" t="s">
        <v>357</v>
      </c>
      <c r="F40" s="814"/>
      <c r="G40" s="814"/>
      <c r="H40" s="814"/>
    </row>
    <row r="41" spans="1:8" ht="30.2" customHeight="1" x14ac:dyDescent="0.25">
      <c r="A41" s="844" t="s">
        <v>382</v>
      </c>
      <c r="B41" s="844"/>
      <c r="C41" s="844"/>
      <c r="D41" s="95"/>
      <c r="E41" s="536" t="s">
        <v>357</v>
      </c>
      <c r="F41" s="814"/>
      <c r="G41" s="814"/>
      <c r="H41" s="814"/>
    </row>
    <row r="42" spans="1:8" ht="15" customHeight="1" x14ac:dyDescent="0.25">
      <c r="A42" s="844" t="s">
        <v>383</v>
      </c>
      <c r="B42" s="844"/>
      <c r="C42" s="844"/>
      <c r="D42" s="95"/>
      <c r="E42" s="536" t="s">
        <v>357</v>
      </c>
      <c r="F42" s="814"/>
      <c r="G42" s="814"/>
      <c r="H42" s="814"/>
    </row>
    <row r="43" spans="1:8" ht="15" customHeight="1" x14ac:dyDescent="0.25">
      <c r="A43" s="844" t="s">
        <v>354</v>
      </c>
      <c r="B43" s="844"/>
      <c r="C43" s="844"/>
      <c r="D43" s="95"/>
      <c r="E43" s="536" t="s">
        <v>357</v>
      </c>
      <c r="F43" s="814" t="s">
        <v>384</v>
      </c>
      <c r="G43" s="814"/>
      <c r="H43" s="814"/>
    </row>
    <row r="44" spans="1:8" ht="15" customHeight="1" x14ac:dyDescent="0.25">
      <c r="A44" s="844" t="s">
        <v>355</v>
      </c>
      <c r="B44" s="844"/>
      <c r="C44" s="844"/>
      <c r="D44" s="95"/>
      <c r="E44" s="536" t="s">
        <v>357</v>
      </c>
      <c r="F44" s="814" t="s">
        <v>385</v>
      </c>
      <c r="G44" s="814"/>
      <c r="H44" s="814"/>
    </row>
    <row r="45" spans="1:8" ht="30.2" customHeight="1" x14ac:dyDescent="0.25">
      <c r="A45" s="844" t="s">
        <v>356</v>
      </c>
      <c r="B45" s="844"/>
      <c r="C45" s="844"/>
      <c r="D45" s="509"/>
      <c r="E45" s="523"/>
      <c r="F45" s="814" t="s">
        <v>367</v>
      </c>
      <c r="G45" s="814"/>
      <c r="H45" s="814"/>
    </row>
    <row r="46" spans="1:8" ht="33" customHeight="1" x14ac:dyDescent="0.25">
      <c r="A46" s="844" t="s">
        <v>390</v>
      </c>
      <c r="B46" s="844"/>
      <c r="C46" s="844"/>
      <c r="D46" s="509"/>
      <c r="E46" s="523" t="s">
        <v>11</v>
      </c>
      <c r="F46" s="814" t="s">
        <v>391</v>
      </c>
      <c r="G46" s="814"/>
      <c r="H46" s="814"/>
    </row>
    <row r="47" spans="1:8" ht="15" customHeight="1" x14ac:dyDescent="0.25">
      <c r="A47" s="844" t="s">
        <v>393</v>
      </c>
      <c r="B47" s="844"/>
      <c r="C47" s="844"/>
      <c r="D47" s="509"/>
      <c r="E47" s="523" t="s">
        <v>11</v>
      </c>
      <c r="F47" s="814" t="s">
        <v>388</v>
      </c>
      <c r="G47" s="814"/>
      <c r="H47" s="814"/>
    </row>
    <row r="48" spans="1:8" ht="15" customHeight="1" x14ac:dyDescent="0.25">
      <c r="A48" s="844" t="s">
        <v>364</v>
      </c>
      <c r="B48" s="844"/>
      <c r="C48" s="844"/>
      <c r="D48" s="509"/>
      <c r="E48" s="523" t="s">
        <v>11</v>
      </c>
      <c r="F48" s="814" t="s">
        <v>389</v>
      </c>
      <c r="G48" s="814"/>
      <c r="H48" s="814"/>
    </row>
    <row r="49" spans="1:8" ht="15" customHeight="1" x14ac:dyDescent="0.25">
      <c r="A49" s="844" t="s">
        <v>372</v>
      </c>
      <c r="B49" s="844"/>
      <c r="C49" s="844"/>
      <c r="D49" s="509"/>
      <c r="E49" s="523" t="s">
        <v>12</v>
      </c>
      <c r="F49" s="814" t="s">
        <v>360</v>
      </c>
      <c r="G49" s="814"/>
      <c r="H49" s="814"/>
    </row>
    <row r="50" spans="1:8" ht="15" customHeight="1" x14ac:dyDescent="0.25">
      <c r="A50" s="844" t="s">
        <v>371</v>
      </c>
      <c r="B50" s="844"/>
      <c r="C50" s="844"/>
      <c r="D50" s="509"/>
      <c r="E50" s="516" t="s">
        <v>12</v>
      </c>
      <c r="F50" s="760" t="s">
        <v>365</v>
      </c>
      <c r="G50" s="760"/>
      <c r="H50" s="760"/>
    </row>
    <row r="51" spans="1:8" ht="30.2" customHeight="1" x14ac:dyDescent="0.25">
      <c r="A51" s="844" t="s">
        <v>373</v>
      </c>
      <c r="B51" s="844"/>
      <c r="C51" s="844"/>
      <c r="D51" s="510">
        <f>150-D50</f>
        <v>150</v>
      </c>
      <c r="E51" s="516" t="s">
        <v>12</v>
      </c>
      <c r="F51" s="921"/>
      <c r="G51" s="921"/>
      <c r="H51" s="921"/>
    </row>
    <row r="52" spans="1:8" ht="15" customHeight="1" x14ac:dyDescent="0.25">
      <c r="A52" s="844" t="s">
        <v>369</v>
      </c>
      <c r="B52" s="844"/>
      <c r="C52" s="844"/>
      <c r="D52" s="509"/>
      <c r="E52" s="516"/>
      <c r="F52" s="760"/>
      <c r="G52" s="760"/>
      <c r="H52" s="760"/>
    </row>
    <row r="53" spans="1:8" ht="60.6" customHeight="1" x14ac:dyDescent="0.25">
      <c r="A53" s="867" t="s">
        <v>392</v>
      </c>
      <c r="B53" s="844"/>
      <c r="C53" s="844"/>
      <c r="D53" s="509"/>
      <c r="E53" s="523" t="s">
        <v>12</v>
      </c>
      <c r="F53" s="814" t="s">
        <v>370</v>
      </c>
      <c r="G53" s="814"/>
      <c r="H53" s="814"/>
    </row>
    <row r="54" spans="1:8" ht="30.2" customHeight="1" x14ac:dyDescent="0.25">
      <c r="A54" s="867" t="s">
        <v>539</v>
      </c>
      <c r="B54" s="867"/>
      <c r="C54" s="867"/>
      <c r="D54" s="95"/>
      <c r="E54" s="814"/>
      <c r="F54" s="844"/>
      <c r="G54" s="844"/>
      <c r="H54" s="844"/>
    </row>
    <row r="55" spans="1:8" ht="15" customHeight="1" x14ac:dyDescent="0.25">
      <c r="A55" s="869" t="s">
        <v>374</v>
      </c>
      <c r="B55" s="869"/>
      <c r="C55" s="869"/>
      <c r="D55" s="869"/>
      <c r="E55" s="869"/>
      <c r="F55" s="869"/>
      <c r="G55" s="869"/>
      <c r="H55" s="869"/>
    </row>
    <row r="56" spans="1:8" ht="30.2" customHeight="1" x14ac:dyDescent="0.25">
      <c r="A56" s="922" t="s">
        <v>377</v>
      </c>
      <c r="B56" s="922"/>
      <c r="C56" s="922"/>
      <c r="D56" s="291">
        <f>IF(D54="Yes",B34,0)</f>
        <v>0</v>
      </c>
      <c r="E56" s="923" t="s">
        <v>566</v>
      </c>
      <c r="F56" s="923"/>
      <c r="G56" s="923"/>
      <c r="H56" s="923"/>
    </row>
    <row r="57" spans="1:8" ht="30.2" customHeight="1" x14ac:dyDescent="0.25">
      <c r="A57" s="922" t="s">
        <v>377</v>
      </c>
      <c r="B57" s="922"/>
      <c r="C57" s="922"/>
      <c r="D57" s="291">
        <f>IF(D54="Yes",C34,0)</f>
        <v>0</v>
      </c>
      <c r="E57" s="923" t="s">
        <v>567</v>
      </c>
      <c r="F57" s="923"/>
      <c r="G57" s="923"/>
      <c r="H57" s="923"/>
    </row>
    <row r="58" spans="1:8" x14ac:dyDescent="0.25">
      <c r="A58" s="501" t="b">
        <f>IF(OR(D52="C",D52="D"),OR(IF(AND(D48&lt;=8,D53&gt;=60),TRUE(),FALSE()),IF(AND(D48&gt;8,D53&gt;=90),TRUE(),FALSE()),IF(AND(D48&gt;12,D53&gt;=120),TRUE(),FALSE())),OR(IF(AND(D48&lt;=8,D53&gt;=50),TRUE(),FALSE()),IF(AND(D48&gt;8,D53&gt;=75),TRUE(),FALSE()),IF(AND(D48&gt;12,D53&gt;=100),TRUE(),FALSE())))</f>
        <v>0</v>
      </c>
      <c r="B58" s="156"/>
      <c r="C58" s="501"/>
      <c r="D58" s="315"/>
      <c r="E58" s="501"/>
      <c r="F58" s="501"/>
      <c r="G58" s="501"/>
      <c r="H58" s="501"/>
    </row>
    <row r="59" spans="1:8" x14ac:dyDescent="0.25">
      <c r="D59" s="615"/>
    </row>
    <row r="64" spans="1:8" x14ac:dyDescent="0.25">
      <c r="A64" s="561" t="s">
        <v>600</v>
      </c>
      <c r="B64" s="562" t="str">
        <f>IF('Total WQv Calculation'!$B$3="","",'Total WQv Calculation'!$B$3)</f>
        <v/>
      </c>
    </row>
    <row r="65" spans="1:8" x14ac:dyDescent="0.25">
      <c r="A65" s="667" t="s">
        <v>79</v>
      </c>
      <c r="B65" s="668"/>
      <c r="C65" s="668"/>
      <c r="D65" s="668"/>
      <c r="E65" s="668"/>
      <c r="F65" s="668"/>
      <c r="G65" s="668"/>
      <c r="H65" s="669"/>
    </row>
    <row r="66" spans="1:8" ht="46.7" customHeight="1" x14ac:dyDescent="0.25">
      <c r="A66" s="504" t="s">
        <v>493</v>
      </c>
      <c r="B66" s="505" t="s">
        <v>610</v>
      </c>
      <c r="C66" s="578" t="s">
        <v>611</v>
      </c>
      <c r="D66" s="505" t="s">
        <v>612</v>
      </c>
      <c r="E66" s="505" t="s">
        <v>7</v>
      </c>
      <c r="F66" s="505" t="s">
        <v>613</v>
      </c>
      <c r="G66" s="505" t="s">
        <v>614</v>
      </c>
      <c r="H66" s="506" t="s">
        <v>29</v>
      </c>
    </row>
    <row r="67" spans="1:8" ht="30.2" customHeight="1" x14ac:dyDescent="0.25">
      <c r="A67" s="213"/>
      <c r="B67" s="576" t="str">
        <f>IF($A67="","",(LOOKUP($A67,'Catchment Summary Table'!$A$4:$A$33,'Catchment Summary Table'!$B$4:$B$33)))</f>
        <v/>
      </c>
      <c r="C67" s="576" t="str">
        <f>IF($A67="","",(LOOKUP($A67,'Catchment Summary Table'!$A$4:$A$33,'Catchment Summary Table'!$C$4:$C$33)))</f>
        <v/>
      </c>
      <c r="D67" s="576" t="str">
        <f>IF($A67="","",(LOOKUP($A67,'Catchment Summary Table'!$A$4:$A$33,'Catchment Summary Table'!$D$4:$D$33)))</f>
        <v/>
      </c>
      <c r="E67" s="576" t="str">
        <f>IF($A67="","",(LOOKUP($A67,'Catchment Summary Table'!$A$4:$A$33,'Catchment Summary Table'!$E$4:$E$33)))</f>
        <v/>
      </c>
      <c r="F67" s="576" t="str">
        <f>IF($A67="","",(LOOKUP($A67,'Catchment Summary Table'!$A$4:$A$33,'Catchment Summary Table'!$F$4:$F$33)))</f>
        <v/>
      </c>
      <c r="G67" s="576" t="str">
        <f>IF(B67="","",IFERROR('Total WQv Calculation'!$B$4,""))</f>
        <v/>
      </c>
      <c r="H67" s="546" t="str">
        <f>IF($A67="","",(LOOKUP($A67,'Catchment Summary Table'!$A$4:$A$33,'Catchment Summary Table'!$G$4:$G$33)))</f>
        <v/>
      </c>
    </row>
    <row r="68" spans="1:8" hidden="1" x14ac:dyDescent="0.25">
      <c r="A68" s="847"/>
      <c r="B68" s="847"/>
      <c r="C68" s="847"/>
      <c r="D68" s="847"/>
      <c r="E68" s="847"/>
      <c r="F68" s="847"/>
      <c r="G68" s="847"/>
      <c r="H68" s="847"/>
    </row>
    <row r="69" spans="1:8" x14ac:dyDescent="0.25">
      <c r="A69" s="840" t="s">
        <v>63</v>
      </c>
      <c r="B69" s="840"/>
      <c r="C69" s="840"/>
      <c r="D69" s="840"/>
      <c r="E69" s="840"/>
      <c r="F69" s="840"/>
      <c r="G69" s="840"/>
      <c r="H69" s="840"/>
    </row>
    <row r="70" spans="1:8" hidden="1" x14ac:dyDescent="0.25">
      <c r="A70" s="850"/>
      <c r="B70" s="850"/>
      <c r="C70" s="850"/>
      <c r="D70" s="850"/>
      <c r="E70" s="850"/>
      <c r="F70" s="850"/>
      <c r="G70" s="850"/>
      <c r="H70" s="850"/>
    </row>
    <row r="71" spans="1:8" ht="30.2" customHeight="1" x14ac:dyDescent="0.25">
      <c r="A71" s="844" t="s">
        <v>368</v>
      </c>
      <c r="B71" s="844"/>
      <c r="C71" s="844"/>
      <c r="D71" s="95"/>
      <c r="E71" s="536" t="s">
        <v>357</v>
      </c>
      <c r="F71" s="760" t="str">
        <f>IF(D71="Yes", "this practice is not applicable"," ")</f>
        <v xml:space="preserve"> </v>
      </c>
      <c r="G71" s="760"/>
      <c r="H71" s="760"/>
    </row>
    <row r="72" spans="1:8" ht="15" customHeight="1" x14ac:dyDescent="0.25">
      <c r="A72" s="844" t="s">
        <v>380</v>
      </c>
      <c r="B72" s="844"/>
      <c r="C72" s="844"/>
      <c r="D72" s="95"/>
      <c r="E72" s="536" t="s">
        <v>357</v>
      </c>
      <c r="F72" s="814"/>
      <c r="G72" s="814"/>
      <c r="H72" s="814"/>
    </row>
    <row r="73" spans="1:8" ht="30.2" customHeight="1" x14ac:dyDescent="0.25">
      <c r="A73" s="844" t="s">
        <v>381</v>
      </c>
      <c r="B73" s="844"/>
      <c r="C73" s="844"/>
      <c r="D73" s="95"/>
      <c r="E73" s="536" t="s">
        <v>357</v>
      </c>
      <c r="F73" s="814"/>
      <c r="G73" s="814"/>
      <c r="H73" s="814"/>
    </row>
    <row r="74" spans="1:8" ht="30.2" customHeight="1" x14ac:dyDescent="0.25">
      <c r="A74" s="844" t="s">
        <v>382</v>
      </c>
      <c r="B74" s="844"/>
      <c r="C74" s="844"/>
      <c r="D74" s="95"/>
      <c r="E74" s="536" t="s">
        <v>357</v>
      </c>
      <c r="F74" s="814"/>
      <c r="G74" s="814"/>
      <c r="H74" s="814"/>
    </row>
    <row r="75" spans="1:8" ht="15" customHeight="1" x14ac:dyDescent="0.25">
      <c r="A75" s="844" t="s">
        <v>383</v>
      </c>
      <c r="B75" s="844"/>
      <c r="C75" s="844"/>
      <c r="D75" s="95"/>
      <c r="E75" s="536" t="s">
        <v>357</v>
      </c>
      <c r="F75" s="814"/>
      <c r="G75" s="814"/>
      <c r="H75" s="814"/>
    </row>
    <row r="76" spans="1:8" ht="15" customHeight="1" x14ac:dyDescent="0.25">
      <c r="A76" s="844" t="s">
        <v>354</v>
      </c>
      <c r="B76" s="844"/>
      <c r="C76" s="844"/>
      <c r="D76" s="95"/>
      <c r="E76" s="536" t="s">
        <v>357</v>
      </c>
      <c r="F76" s="814" t="s">
        <v>384</v>
      </c>
      <c r="G76" s="814"/>
      <c r="H76" s="814"/>
    </row>
    <row r="77" spans="1:8" ht="15" customHeight="1" x14ac:dyDescent="0.25">
      <c r="A77" s="844" t="s">
        <v>355</v>
      </c>
      <c r="B77" s="844"/>
      <c r="C77" s="844"/>
      <c r="D77" s="95"/>
      <c r="E77" s="536" t="s">
        <v>357</v>
      </c>
      <c r="F77" s="814" t="s">
        <v>385</v>
      </c>
      <c r="G77" s="814"/>
      <c r="H77" s="814"/>
    </row>
    <row r="78" spans="1:8" ht="30.2" customHeight="1" x14ac:dyDescent="0.25">
      <c r="A78" s="844" t="s">
        <v>356</v>
      </c>
      <c r="B78" s="844"/>
      <c r="C78" s="844"/>
      <c r="D78" s="509"/>
      <c r="E78" s="523"/>
      <c r="F78" s="814" t="s">
        <v>367</v>
      </c>
      <c r="G78" s="814"/>
      <c r="H78" s="814"/>
    </row>
    <row r="79" spans="1:8" ht="15" customHeight="1" x14ac:dyDescent="0.25">
      <c r="A79" s="844" t="s">
        <v>390</v>
      </c>
      <c r="B79" s="844"/>
      <c r="C79" s="844"/>
      <c r="D79" s="509"/>
      <c r="E79" s="523" t="s">
        <v>11</v>
      </c>
      <c r="F79" s="814" t="s">
        <v>391</v>
      </c>
      <c r="G79" s="814"/>
      <c r="H79" s="814"/>
    </row>
    <row r="80" spans="1:8" ht="15" customHeight="1" x14ac:dyDescent="0.25">
      <c r="A80" s="844" t="s">
        <v>393</v>
      </c>
      <c r="B80" s="844"/>
      <c r="C80" s="844"/>
      <c r="D80" s="509"/>
      <c r="E80" s="523" t="s">
        <v>11</v>
      </c>
      <c r="F80" s="814" t="s">
        <v>388</v>
      </c>
      <c r="G80" s="814"/>
      <c r="H80" s="814"/>
    </row>
    <row r="81" spans="1:8" ht="15" customHeight="1" x14ac:dyDescent="0.25">
      <c r="A81" s="844" t="s">
        <v>364</v>
      </c>
      <c r="B81" s="844"/>
      <c r="C81" s="844"/>
      <c r="D81" s="509"/>
      <c r="E81" s="523" t="s">
        <v>11</v>
      </c>
      <c r="F81" s="814" t="s">
        <v>389</v>
      </c>
      <c r="G81" s="814"/>
      <c r="H81" s="814"/>
    </row>
    <row r="82" spans="1:8" ht="15" customHeight="1" x14ac:dyDescent="0.25">
      <c r="A82" s="844" t="s">
        <v>372</v>
      </c>
      <c r="B82" s="844"/>
      <c r="C82" s="844"/>
      <c r="D82" s="509"/>
      <c r="E82" s="523" t="s">
        <v>12</v>
      </c>
      <c r="F82" s="814" t="s">
        <v>360</v>
      </c>
      <c r="G82" s="814"/>
      <c r="H82" s="814"/>
    </row>
    <row r="83" spans="1:8" ht="15" customHeight="1" x14ac:dyDescent="0.25">
      <c r="A83" s="844" t="s">
        <v>371</v>
      </c>
      <c r="B83" s="844"/>
      <c r="C83" s="844"/>
      <c r="D83" s="509"/>
      <c r="E83" s="516" t="s">
        <v>12</v>
      </c>
      <c r="F83" s="760" t="s">
        <v>365</v>
      </c>
      <c r="G83" s="760"/>
      <c r="H83" s="760"/>
    </row>
    <row r="84" spans="1:8" ht="30.2" customHeight="1" x14ac:dyDescent="0.25">
      <c r="A84" s="844" t="s">
        <v>373</v>
      </c>
      <c r="B84" s="844"/>
      <c r="C84" s="844"/>
      <c r="D84" s="510">
        <f>150-D83</f>
        <v>150</v>
      </c>
      <c r="E84" s="516" t="s">
        <v>12</v>
      </c>
      <c r="F84" s="921"/>
      <c r="G84" s="921"/>
      <c r="H84" s="921"/>
    </row>
    <row r="85" spans="1:8" ht="15" customHeight="1" x14ac:dyDescent="0.25">
      <c r="A85" s="844" t="s">
        <v>369</v>
      </c>
      <c r="B85" s="844"/>
      <c r="C85" s="844"/>
      <c r="D85" s="509"/>
      <c r="E85" s="507"/>
      <c r="F85" s="760"/>
      <c r="G85" s="760"/>
      <c r="H85" s="760"/>
    </row>
    <row r="86" spans="1:8" ht="60.6" customHeight="1" x14ac:dyDescent="0.25">
      <c r="A86" s="867" t="s">
        <v>392</v>
      </c>
      <c r="B86" s="844"/>
      <c r="C86" s="844"/>
      <c r="D86" s="509"/>
      <c r="E86" s="523" t="s">
        <v>12</v>
      </c>
      <c r="F86" s="814" t="s">
        <v>370</v>
      </c>
      <c r="G86" s="814"/>
      <c r="H86" s="814"/>
    </row>
    <row r="87" spans="1:8" ht="30.2" customHeight="1" x14ac:dyDescent="0.25">
      <c r="A87" s="867" t="s">
        <v>540</v>
      </c>
      <c r="B87" s="867"/>
      <c r="C87" s="867"/>
      <c r="D87" s="95"/>
      <c r="E87" s="814"/>
      <c r="F87" s="844"/>
      <c r="G87" s="844"/>
      <c r="H87" s="844"/>
    </row>
    <row r="88" spans="1:8" ht="18.75" customHeight="1" x14ac:dyDescent="0.25">
      <c r="A88" s="869" t="s">
        <v>374</v>
      </c>
      <c r="B88" s="869"/>
      <c r="C88" s="869"/>
      <c r="D88" s="869"/>
      <c r="E88" s="869"/>
      <c r="F88" s="869"/>
      <c r="G88" s="869"/>
      <c r="H88" s="869"/>
    </row>
    <row r="89" spans="1:8" ht="30.2" customHeight="1" x14ac:dyDescent="0.25">
      <c r="A89" s="922" t="s">
        <v>377</v>
      </c>
      <c r="B89" s="922"/>
      <c r="C89" s="922"/>
      <c r="D89" s="291">
        <f>IF(D87="Yes",B67,0)</f>
        <v>0</v>
      </c>
      <c r="E89" s="923" t="s">
        <v>566</v>
      </c>
      <c r="F89" s="923"/>
      <c r="G89" s="923"/>
      <c r="H89" s="923"/>
    </row>
    <row r="90" spans="1:8" ht="30.2" customHeight="1" x14ac:dyDescent="0.25">
      <c r="A90" s="922" t="s">
        <v>377</v>
      </c>
      <c r="B90" s="922"/>
      <c r="C90" s="922"/>
      <c r="D90" s="291">
        <f>IF(D87="Yes",C67,0)</f>
        <v>0</v>
      </c>
      <c r="E90" s="923" t="s">
        <v>567</v>
      </c>
      <c r="F90" s="923"/>
      <c r="G90" s="923"/>
      <c r="H90" s="923"/>
    </row>
    <row r="91" spans="1:8" x14ac:dyDescent="0.25">
      <c r="A91" s="501" t="b">
        <f>IF(OR(D85="C",D85="D"),OR(IF(AND(D81&lt;=8,D86&gt;=60),TRUE(),FALSE()),IF(AND(D81&gt;8,D86&gt;=90),TRUE(),FALSE()),IF(AND(D81&gt;12,D86&gt;=120),TRUE(),FALSE())),OR(IF(AND(D81&lt;=8,D86&gt;=50),TRUE(),FALSE()),IF(AND(D81&gt;8,D86&gt;=75),TRUE(),FALSE()),IF(AND(D81&gt;12,D86&gt;=100),TRUE(),FALSE())))</f>
        <v>0</v>
      </c>
      <c r="B91" s="156"/>
      <c r="C91" s="501"/>
      <c r="D91" s="501"/>
      <c r="E91" s="501"/>
      <c r="F91" s="501"/>
      <c r="G91" s="501"/>
      <c r="H91" s="501"/>
    </row>
    <row r="98" spans="1:8" x14ac:dyDescent="0.25">
      <c r="A98" s="561" t="s">
        <v>600</v>
      </c>
      <c r="B98" s="562" t="str">
        <f>IF('Total WQv Calculation'!$B$3="","",'Total WQv Calculation'!$B$3)</f>
        <v/>
      </c>
    </row>
    <row r="99" spans="1:8" x14ac:dyDescent="0.25">
      <c r="A99" s="667" t="s">
        <v>79</v>
      </c>
      <c r="B99" s="668"/>
      <c r="C99" s="668"/>
      <c r="D99" s="668"/>
      <c r="E99" s="668"/>
      <c r="F99" s="668"/>
      <c r="G99" s="668"/>
      <c r="H99" s="669"/>
    </row>
    <row r="100" spans="1:8" ht="46.7" customHeight="1" x14ac:dyDescent="0.25">
      <c r="A100" s="504" t="s">
        <v>493</v>
      </c>
      <c r="B100" s="505" t="s">
        <v>610</v>
      </c>
      <c r="C100" s="578" t="s">
        <v>611</v>
      </c>
      <c r="D100" s="505" t="s">
        <v>612</v>
      </c>
      <c r="E100" s="505" t="s">
        <v>7</v>
      </c>
      <c r="F100" s="505" t="s">
        <v>613</v>
      </c>
      <c r="G100" s="505" t="s">
        <v>614</v>
      </c>
      <c r="H100" s="506" t="s">
        <v>29</v>
      </c>
    </row>
    <row r="101" spans="1:8" ht="30.2" customHeight="1" x14ac:dyDescent="0.25">
      <c r="A101" s="213"/>
      <c r="B101" s="576" t="str">
        <f>IF($A101="","",(LOOKUP($A101,'Catchment Summary Table'!$A$4:$A$33,'Catchment Summary Table'!$B$4:$B$33)))</f>
        <v/>
      </c>
      <c r="C101" s="576" t="str">
        <f>IF($A101="","",(LOOKUP($A101,'Catchment Summary Table'!$A$4:$A$33,'Catchment Summary Table'!$C$4:$C$33)))</f>
        <v/>
      </c>
      <c r="D101" s="576" t="str">
        <f>IF($A101="","",(LOOKUP($A101,'Catchment Summary Table'!$A$4:$A$33,'Catchment Summary Table'!$D$4:$D$33)))</f>
        <v/>
      </c>
      <c r="E101" s="576" t="str">
        <f>IF($A101="","",(LOOKUP($A101,'Catchment Summary Table'!$A$4:$A$33,'Catchment Summary Table'!$E$4:$E$33)))</f>
        <v/>
      </c>
      <c r="F101" s="576" t="str">
        <f>IF($A101="","",(LOOKUP($A101,'Catchment Summary Table'!$A$4:$A$33,'Catchment Summary Table'!$F$4:$F$33)))</f>
        <v/>
      </c>
      <c r="G101" s="576" t="str">
        <f>IF(B101="","",IFERROR('Total WQv Calculation'!$B$4,""))</f>
        <v/>
      </c>
      <c r="H101" s="546" t="str">
        <f>IF($A101="","",(LOOKUP($A101,'Catchment Summary Table'!$A$4:$A$33,'Catchment Summary Table'!$G$4:$G$33)))</f>
        <v/>
      </c>
    </row>
    <row r="102" spans="1:8" hidden="1" x14ac:dyDescent="0.25">
      <c r="A102" s="847"/>
      <c r="B102" s="847"/>
      <c r="C102" s="847"/>
      <c r="D102" s="847"/>
      <c r="E102" s="847"/>
      <c r="F102" s="847"/>
      <c r="G102" s="847"/>
      <c r="H102" s="847"/>
    </row>
    <row r="103" spans="1:8" x14ac:dyDescent="0.25">
      <c r="A103" s="840" t="s">
        <v>63</v>
      </c>
      <c r="B103" s="840"/>
      <c r="C103" s="840"/>
      <c r="D103" s="840"/>
      <c r="E103" s="840"/>
      <c r="F103" s="840"/>
      <c r="G103" s="840"/>
      <c r="H103" s="840"/>
    </row>
    <row r="104" spans="1:8" hidden="1" x14ac:dyDescent="0.25">
      <c r="A104" s="850"/>
      <c r="B104" s="850"/>
      <c r="C104" s="850"/>
      <c r="D104" s="850"/>
      <c r="E104" s="850"/>
      <c r="F104" s="850"/>
      <c r="G104" s="850"/>
      <c r="H104" s="850"/>
    </row>
    <row r="105" spans="1:8" ht="30.2" customHeight="1" x14ac:dyDescent="0.25">
      <c r="A105" s="844" t="s">
        <v>368</v>
      </c>
      <c r="B105" s="844"/>
      <c r="C105" s="844"/>
      <c r="D105" s="95"/>
      <c r="E105" s="536" t="s">
        <v>357</v>
      </c>
      <c r="F105" s="760" t="str">
        <f>IF(D105="Yes", "this practice is not applicable"," ")</f>
        <v xml:space="preserve"> </v>
      </c>
      <c r="G105" s="760"/>
      <c r="H105" s="760"/>
    </row>
    <row r="106" spans="1:8" ht="15" customHeight="1" x14ac:dyDescent="0.25">
      <c r="A106" s="844" t="s">
        <v>380</v>
      </c>
      <c r="B106" s="844"/>
      <c r="C106" s="844"/>
      <c r="D106" s="95"/>
      <c r="E106" s="536" t="s">
        <v>357</v>
      </c>
      <c r="F106" s="814"/>
      <c r="G106" s="814"/>
      <c r="H106" s="814"/>
    </row>
    <row r="107" spans="1:8" ht="30.2" customHeight="1" x14ac:dyDescent="0.25">
      <c r="A107" s="844" t="s">
        <v>381</v>
      </c>
      <c r="B107" s="844"/>
      <c r="C107" s="844"/>
      <c r="D107" s="95"/>
      <c r="E107" s="536" t="s">
        <v>357</v>
      </c>
      <c r="F107" s="814"/>
      <c r="G107" s="814"/>
      <c r="H107" s="814"/>
    </row>
    <row r="108" spans="1:8" ht="30.2" customHeight="1" x14ac:dyDescent="0.25">
      <c r="A108" s="844" t="s">
        <v>382</v>
      </c>
      <c r="B108" s="844"/>
      <c r="C108" s="844"/>
      <c r="D108" s="95"/>
      <c r="E108" s="536" t="s">
        <v>357</v>
      </c>
      <c r="F108" s="814"/>
      <c r="G108" s="814"/>
      <c r="H108" s="814"/>
    </row>
    <row r="109" spans="1:8" ht="15" customHeight="1" x14ac:dyDescent="0.25">
      <c r="A109" s="844" t="s">
        <v>383</v>
      </c>
      <c r="B109" s="844"/>
      <c r="C109" s="844"/>
      <c r="D109" s="95"/>
      <c r="E109" s="536" t="s">
        <v>357</v>
      </c>
      <c r="F109" s="814"/>
      <c r="G109" s="814"/>
      <c r="H109" s="814"/>
    </row>
    <row r="110" spans="1:8" ht="15" customHeight="1" x14ac:dyDescent="0.25">
      <c r="A110" s="844" t="s">
        <v>354</v>
      </c>
      <c r="B110" s="844"/>
      <c r="C110" s="844"/>
      <c r="D110" s="95"/>
      <c r="E110" s="536" t="s">
        <v>357</v>
      </c>
      <c r="F110" s="814" t="s">
        <v>384</v>
      </c>
      <c r="G110" s="814"/>
      <c r="H110" s="814"/>
    </row>
    <row r="111" spans="1:8" ht="15" customHeight="1" x14ac:dyDescent="0.25">
      <c r="A111" s="844" t="s">
        <v>355</v>
      </c>
      <c r="B111" s="844"/>
      <c r="C111" s="844"/>
      <c r="D111" s="95"/>
      <c r="E111" s="536" t="s">
        <v>357</v>
      </c>
      <c r="F111" s="814" t="s">
        <v>385</v>
      </c>
      <c r="G111" s="814"/>
      <c r="H111" s="814"/>
    </row>
    <row r="112" spans="1:8" ht="30.2" customHeight="1" x14ac:dyDescent="0.25">
      <c r="A112" s="844" t="s">
        <v>356</v>
      </c>
      <c r="B112" s="844"/>
      <c r="C112" s="844"/>
      <c r="D112" s="509"/>
      <c r="E112" s="523"/>
      <c r="F112" s="814" t="s">
        <v>367</v>
      </c>
      <c r="G112" s="814"/>
      <c r="H112" s="814"/>
    </row>
    <row r="113" spans="1:8" ht="15" customHeight="1" x14ac:dyDescent="0.25">
      <c r="A113" s="844" t="s">
        <v>390</v>
      </c>
      <c r="B113" s="844"/>
      <c r="C113" s="844"/>
      <c r="D113" s="509"/>
      <c r="E113" s="523" t="s">
        <v>11</v>
      </c>
      <c r="F113" s="814" t="s">
        <v>391</v>
      </c>
      <c r="G113" s="814"/>
      <c r="H113" s="814"/>
    </row>
    <row r="114" spans="1:8" ht="15" customHeight="1" x14ac:dyDescent="0.25">
      <c r="A114" s="844" t="s">
        <v>393</v>
      </c>
      <c r="B114" s="844"/>
      <c r="C114" s="844"/>
      <c r="D114" s="509"/>
      <c r="E114" s="523" t="s">
        <v>11</v>
      </c>
      <c r="F114" s="814" t="s">
        <v>388</v>
      </c>
      <c r="G114" s="814"/>
      <c r="H114" s="814"/>
    </row>
    <row r="115" spans="1:8" ht="15" customHeight="1" x14ac:dyDescent="0.25">
      <c r="A115" s="844" t="s">
        <v>364</v>
      </c>
      <c r="B115" s="844"/>
      <c r="C115" s="844"/>
      <c r="D115" s="509"/>
      <c r="E115" s="523" t="s">
        <v>11</v>
      </c>
      <c r="F115" s="814" t="s">
        <v>389</v>
      </c>
      <c r="G115" s="814"/>
      <c r="H115" s="814"/>
    </row>
    <row r="116" spans="1:8" ht="15" customHeight="1" x14ac:dyDescent="0.25">
      <c r="A116" s="844" t="s">
        <v>372</v>
      </c>
      <c r="B116" s="844"/>
      <c r="C116" s="844"/>
      <c r="D116" s="509"/>
      <c r="E116" s="523" t="s">
        <v>12</v>
      </c>
      <c r="F116" s="814" t="s">
        <v>360</v>
      </c>
      <c r="G116" s="814"/>
      <c r="H116" s="814"/>
    </row>
    <row r="117" spans="1:8" ht="15" customHeight="1" x14ac:dyDescent="0.25">
      <c r="A117" s="844" t="s">
        <v>371</v>
      </c>
      <c r="B117" s="844"/>
      <c r="C117" s="844"/>
      <c r="D117" s="509"/>
      <c r="E117" s="516" t="s">
        <v>12</v>
      </c>
      <c r="F117" s="760" t="s">
        <v>365</v>
      </c>
      <c r="G117" s="760"/>
      <c r="H117" s="760"/>
    </row>
    <row r="118" spans="1:8" ht="30.2" customHeight="1" x14ac:dyDescent="0.25">
      <c r="A118" s="844" t="s">
        <v>373</v>
      </c>
      <c r="B118" s="844"/>
      <c r="C118" s="844"/>
      <c r="D118" s="510">
        <f>150-D117</f>
        <v>150</v>
      </c>
      <c r="E118" s="516" t="s">
        <v>12</v>
      </c>
      <c r="F118" s="921"/>
      <c r="G118" s="921"/>
      <c r="H118" s="921"/>
    </row>
    <row r="119" spans="1:8" ht="15" customHeight="1" x14ac:dyDescent="0.25">
      <c r="A119" s="844" t="s">
        <v>369</v>
      </c>
      <c r="B119" s="844"/>
      <c r="C119" s="844"/>
      <c r="D119" s="509"/>
      <c r="E119" s="516"/>
      <c r="F119" s="760"/>
      <c r="G119" s="760"/>
      <c r="H119" s="760"/>
    </row>
    <row r="120" spans="1:8" ht="60.6" customHeight="1" x14ac:dyDescent="0.25">
      <c r="A120" s="867" t="s">
        <v>392</v>
      </c>
      <c r="B120" s="844"/>
      <c r="C120" s="844"/>
      <c r="D120" s="509"/>
      <c r="E120" s="523" t="s">
        <v>12</v>
      </c>
      <c r="F120" s="814" t="s">
        <v>370</v>
      </c>
      <c r="G120" s="814"/>
      <c r="H120" s="814"/>
    </row>
    <row r="121" spans="1:8" ht="30.2" customHeight="1" x14ac:dyDescent="0.25">
      <c r="A121" s="867" t="s">
        <v>541</v>
      </c>
      <c r="B121" s="867"/>
      <c r="C121" s="867"/>
      <c r="D121" s="95"/>
      <c r="E121" s="814"/>
      <c r="F121" s="814"/>
      <c r="G121" s="814"/>
      <c r="H121" s="814"/>
    </row>
    <row r="122" spans="1:8" ht="15" customHeight="1" x14ac:dyDescent="0.25">
      <c r="A122" s="924" t="s">
        <v>374</v>
      </c>
      <c r="B122" s="925"/>
      <c r="C122" s="925"/>
      <c r="D122" s="925"/>
      <c r="E122" s="925"/>
      <c r="F122" s="925"/>
      <c r="G122" s="925"/>
      <c r="H122" s="926"/>
    </row>
    <row r="123" spans="1:8" ht="30.2" customHeight="1" x14ac:dyDescent="0.25">
      <c r="A123" s="922" t="s">
        <v>377</v>
      </c>
      <c r="B123" s="922"/>
      <c r="C123" s="922"/>
      <c r="D123" s="291">
        <f>IF(D121="Yes",B101,0)</f>
        <v>0</v>
      </c>
      <c r="E123" s="923" t="s">
        <v>566</v>
      </c>
      <c r="F123" s="923"/>
      <c r="G123" s="923"/>
      <c r="H123" s="923"/>
    </row>
    <row r="124" spans="1:8" ht="30.2" customHeight="1" x14ac:dyDescent="0.25">
      <c r="A124" s="922" t="s">
        <v>377</v>
      </c>
      <c r="B124" s="922"/>
      <c r="C124" s="922"/>
      <c r="D124" s="291">
        <f>IF(D121="Yes",C101,0)</f>
        <v>0</v>
      </c>
      <c r="E124" s="923" t="s">
        <v>567</v>
      </c>
      <c r="F124" s="923"/>
      <c r="G124" s="923"/>
      <c r="H124" s="923"/>
    </row>
    <row r="125" spans="1:8" x14ac:dyDescent="0.25">
      <c r="A125" s="501" t="b">
        <f>IF(OR(D119="C",D119="D"),OR(IF(AND(D115&lt;=8,D120&gt;=60),TRUE(),FALSE()),IF(AND(D115&gt;8,D120&gt;=90),TRUE(),FALSE()),IF(AND(D115&gt;12,D120&gt;=120),TRUE(),FALSE())),OR(IF(AND(D115&lt;=8,D120&gt;=50),TRUE(),FALSE()),IF(AND(D115&gt;8,D120&gt;=75),TRUE(),FALSE()),IF(AND(D115&gt;12,D120&gt;=100),TRUE(),FALSE())))</f>
        <v>0</v>
      </c>
      <c r="B125" s="156"/>
      <c r="C125" s="501"/>
      <c r="D125" s="315"/>
      <c r="E125" s="501"/>
      <c r="F125" s="501"/>
      <c r="G125" s="501"/>
      <c r="H125" s="501"/>
    </row>
    <row r="132" spans="1:4" ht="15" customHeight="1" x14ac:dyDescent="0.25">
      <c r="A132" s="782" t="s">
        <v>519</v>
      </c>
      <c r="B132" s="782"/>
      <c r="C132" s="782"/>
      <c r="D132" s="315">
        <f>SUM(D25,D56,D89,D123)</f>
        <v>0</v>
      </c>
    </row>
    <row r="133" spans="1:4" ht="30.2" customHeight="1" x14ac:dyDescent="0.25">
      <c r="A133" s="782" t="s">
        <v>520</v>
      </c>
      <c r="B133" s="782"/>
      <c r="C133" s="782"/>
      <c r="D133" s="315">
        <f>SUM(D26,D57,D90,D124)</f>
        <v>0</v>
      </c>
    </row>
  </sheetData>
  <sheetProtection password="C7D7" sheet="1" objects="1" scenarios="1" formatColumns="0" formatRows="0"/>
  <mergeCells count="172">
    <mergeCell ref="A132:C132"/>
    <mergeCell ref="A133:C133"/>
    <mergeCell ref="A121:C121"/>
    <mergeCell ref="A123:C123"/>
    <mergeCell ref="E123:H123"/>
    <mergeCell ref="A124:C124"/>
    <mergeCell ref="E124:H124"/>
    <mergeCell ref="A118:C118"/>
    <mergeCell ref="F118:H118"/>
    <mergeCell ref="A119:C119"/>
    <mergeCell ref="F119:H119"/>
    <mergeCell ref="A120:C120"/>
    <mergeCell ref="F120:H120"/>
    <mergeCell ref="E121:H121"/>
    <mergeCell ref="A122:H122"/>
    <mergeCell ref="A115:C115"/>
    <mergeCell ref="F115:H115"/>
    <mergeCell ref="A116:C116"/>
    <mergeCell ref="F116:H116"/>
    <mergeCell ref="A117:C117"/>
    <mergeCell ref="F117:H117"/>
    <mergeCell ref="A112:C112"/>
    <mergeCell ref="F112:H112"/>
    <mergeCell ref="A113:C113"/>
    <mergeCell ref="F113:H113"/>
    <mergeCell ref="A114:C114"/>
    <mergeCell ref="F114:H114"/>
    <mergeCell ref="A109:C109"/>
    <mergeCell ref="F109:H109"/>
    <mergeCell ref="A110:C110"/>
    <mergeCell ref="F110:H110"/>
    <mergeCell ref="A111:C111"/>
    <mergeCell ref="F111:H111"/>
    <mergeCell ref="A106:C106"/>
    <mergeCell ref="F106:H106"/>
    <mergeCell ref="A107:C107"/>
    <mergeCell ref="F107:H107"/>
    <mergeCell ref="A108:C108"/>
    <mergeCell ref="F108:H108"/>
    <mergeCell ref="A99:H99"/>
    <mergeCell ref="A102:H102"/>
    <mergeCell ref="A103:H103"/>
    <mergeCell ref="A104:H104"/>
    <mergeCell ref="A105:C105"/>
    <mergeCell ref="F105:H105"/>
    <mergeCell ref="A87:C87"/>
    <mergeCell ref="A89:C89"/>
    <mergeCell ref="E89:H89"/>
    <mergeCell ref="A90:C90"/>
    <mergeCell ref="E90:H90"/>
    <mergeCell ref="E87:H87"/>
    <mergeCell ref="A88:H88"/>
    <mergeCell ref="A84:C84"/>
    <mergeCell ref="F84:H84"/>
    <mergeCell ref="A85:C85"/>
    <mergeCell ref="F85:H85"/>
    <mergeCell ref="A86:C86"/>
    <mergeCell ref="F86:H86"/>
    <mergeCell ref="A81:C81"/>
    <mergeCell ref="F81:H81"/>
    <mergeCell ref="A82:C82"/>
    <mergeCell ref="F82:H82"/>
    <mergeCell ref="A83:C83"/>
    <mergeCell ref="F83:H83"/>
    <mergeCell ref="A78:C78"/>
    <mergeCell ref="F78:H78"/>
    <mergeCell ref="A79:C79"/>
    <mergeCell ref="F79:H79"/>
    <mergeCell ref="A80:C80"/>
    <mergeCell ref="F80:H80"/>
    <mergeCell ref="A75:C75"/>
    <mergeCell ref="F75:H75"/>
    <mergeCell ref="A76:C76"/>
    <mergeCell ref="F76:H76"/>
    <mergeCell ref="A77:C77"/>
    <mergeCell ref="F77:H77"/>
    <mergeCell ref="A72:C72"/>
    <mergeCell ref="F72:H72"/>
    <mergeCell ref="A73:C73"/>
    <mergeCell ref="F73:H73"/>
    <mergeCell ref="A74:C74"/>
    <mergeCell ref="F74:H74"/>
    <mergeCell ref="A65:H65"/>
    <mergeCell ref="A68:H68"/>
    <mergeCell ref="A69:H69"/>
    <mergeCell ref="A70:H70"/>
    <mergeCell ref="A71:C71"/>
    <mergeCell ref="F71:H71"/>
    <mergeCell ref="A54:C54"/>
    <mergeCell ref="A56:C56"/>
    <mergeCell ref="E56:H56"/>
    <mergeCell ref="A57:C57"/>
    <mergeCell ref="E57:H57"/>
    <mergeCell ref="A51:C51"/>
    <mergeCell ref="F51:H51"/>
    <mergeCell ref="A52:C52"/>
    <mergeCell ref="F52:H52"/>
    <mergeCell ref="A53:C53"/>
    <mergeCell ref="F53:H53"/>
    <mergeCell ref="E54:H54"/>
    <mergeCell ref="A55:H55"/>
    <mergeCell ref="A48:C48"/>
    <mergeCell ref="F48:H48"/>
    <mergeCell ref="A49:C49"/>
    <mergeCell ref="F49:H49"/>
    <mergeCell ref="A50:C50"/>
    <mergeCell ref="F50:H50"/>
    <mergeCell ref="A45:C45"/>
    <mergeCell ref="F45:H45"/>
    <mergeCell ref="A46:C46"/>
    <mergeCell ref="F46:H46"/>
    <mergeCell ref="A47:C47"/>
    <mergeCell ref="F47:H47"/>
    <mergeCell ref="A42:C42"/>
    <mergeCell ref="F42:H42"/>
    <mergeCell ref="A43:C43"/>
    <mergeCell ref="F43:H43"/>
    <mergeCell ref="A44:C44"/>
    <mergeCell ref="F44:H44"/>
    <mergeCell ref="A39:C39"/>
    <mergeCell ref="F39:H39"/>
    <mergeCell ref="A40:C40"/>
    <mergeCell ref="F40:H40"/>
    <mergeCell ref="A41:C41"/>
    <mergeCell ref="F41:H41"/>
    <mergeCell ref="A32:H32"/>
    <mergeCell ref="A35:H35"/>
    <mergeCell ref="A36:H36"/>
    <mergeCell ref="A37:H37"/>
    <mergeCell ref="A38:C38"/>
    <mergeCell ref="F38:H38"/>
    <mergeCell ref="F9:H9"/>
    <mergeCell ref="F10:H10"/>
    <mergeCell ref="F11:H11"/>
    <mergeCell ref="A12:C12"/>
    <mergeCell ref="A13:C13"/>
    <mergeCell ref="A14:C14"/>
    <mergeCell ref="F14:H14"/>
    <mergeCell ref="A16:C16"/>
    <mergeCell ref="F16:H16"/>
    <mergeCell ref="F12:H12"/>
    <mergeCell ref="F13:H13"/>
    <mergeCell ref="A15:C15"/>
    <mergeCell ref="F15:H15"/>
    <mergeCell ref="A17:C17"/>
    <mergeCell ref="F17:H17"/>
    <mergeCell ref="A18:C18"/>
    <mergeCell ref="F18:H18"/>
    <mergeCell ref="A19:C19"/>
    <mergeCell ref="A2:H2"/>
    <mergeCell ref="A6:H6"/>
    <mergeCell ref="A7:C7"/>
    <mergeCell ref="F7:H7"/>
    <mergeCell ref="A9:C9"/>
    <mergeCell ref="A10:C10"/>
    <mergeCell ref="A11:C11"/>
    <mergeCell ref="A8:C8"/>
    <mergeCell ref="F8:H8"/>
    <mergeCell ref="F19:H19"/>
    <mergeCell ref="A20:C20"/>
    <mergeCell ref="F20:H20"/>
    <mergeCell ref="A25:C25"/>
    <mergeCell ref="E25:H25"/>
    <mergeCell ref="A26:C26"/>
    <mergeCell ref="E26:H26"/>
    <mergeCell ref="A21:C21"/>
    <mergeCell ref="F21:H21"/>
    <mergeCell ref="A22:C22"/>
    <mergeCell ref="F22:H22"/>
    <mergeCell ref="A23:C23"/>
    <mergeCell ref="E23:H23"/>
    <mergeCell ref="A24:H24"/>
  </mergeCells>
  <dataValidations count="3">
    <dataValidation type="list" showInputMessage="1" showErrorMessage="1" promptTitle="Yes or No?" sqref="D105:D111 D121 D38:D44 D54 D23 D7:D13 D87 D71:D77">
      <formula1>YesNo</formula1>
    </dataValidation>
    <dataValidation type="list" showInputMessage="1" showErrorMessage="1" promptTitle="Choose Area" sqref="A101 A34 A4 A67">
      <formula1>CatchNo</formula1>
    </dataValidation>
    <dataValidation type="list" allowBlank="1" showInputMessage="1" showErrorMessage="1" sqref="D119 D52 D21 D85">
      <formula1>SoilType</formula1>
    </dataValidation>
  </dataValidations>
  <pageMargins left="0.7" right="0.7" top="0.75" bottom="0.75" header="0.3" footer="0.3"/>
  <pageSetup orientation="portrait" r:id="rId1"/>
  <headerFooter>
    <oddHeader>&amp;C&amp;18Filter Strip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56"/>
  <sheetViews>
    <sheetView view="pageLayout" zoomScaleNormal="100" workbookViewId="0">
      <selection activeCell="A6" sqref="A6"/>
    </sheetView>
  </sheetViews>
  <sheetFormatPr defaultColWidth="9.140625" defaultRowHeight="15" x14ac:dyDescent="0.25"/>
  <cols>
    <col min="1" max="1" width="12.7109375" style="529" customWidth="1"/>
    <col min="2" max="2" width="11" style="529" customWidth="1"/>
    <col min="3" max="3" width="10.85546875" style="529" customWidth="1"/>
    <col min="4" max="4" width="10.7109375" style="529" customWidth="1"/>
    <col min="5" max="6" width="7.5703125" style="529" customWidth="1"/>
    <col min="7" max="7" width="12.140625" style="529" customWidth="1"/>
    <col min="8" max="8" width="17.85546875" style="529" customWidth="1"/>
    <col min="9" max="9" width="21.140625" style="529" bestFit="1" customWidth="1"/>
    <col min="10" max="16384" width="9.140625" style="529"/>
  </cols>
  <sheetData>
    <row r="1" spans="1:10" x14ac:dyDescent="0.25">
      <c r="A1" s="695" t="s">
        <v>152</v>
      </c>
      <c r="B1" s="695"/>
      <c r="C1" s="695"/>
      <c r="D1" s="695" t="s">
        <v>153</v>
      </c>
      <c r="E1" s="695"/>
      <c r="F1" s="695"/>
      <c r="G1" s="695" t="s">
        <v>154</v>
      </c>
      <c r="H1" s="695"/>
      <c r="I1" s="529" t="s">
        <v>517</v>
      </c>
      <c r="J1" s="315">
        <f>SUM(E23,E64,E104,E143)</f>
        <v>0</v>
      </c>
    </row>
    <row r="2" spans="1:10" x14ac:dyDescent="0.25">
      <c r="A2" s="501"/>
      <c r="B2" s="501"/>
      <c r="C2" s="501"/>
      <c r="D2" s="501"/>
      <c r="E2" s="501"/>
      <c r="F2" s="501"/>
      <c r="G2" s="501"/>
      <c r="H2" s="501"/>
      <c r="I2" s="529" t="s">
        <v>5</v>
      </c>
      <c r="J2" s="315">
        <f>SUM(B6,B47,B87,B126)</f>
        <v>0</v>
      </c>
    </row>
    <row r="3" spans="1:10" ht="15" customHeight="1" x14ac:dyDescent="0.25">
      <c r="A3" s="561" t="s">
        <v>600</v>
      </c>
      <c r="B3" s="562" t="str">
        <f>IF('Total WQv Calculation'!$B$3="","",'Total WQv Calculation'!$B$3)</f>
        <v/>
      </c>
      <c r="C3" s="31"/>
      <c r="D3" s="31"/>
      <c r="E3" s="31"/>
      <c r="F3" s="31"/>
      <c r="G3" s="31"/>
      <c r="H3" s="31"/>
      <c r="I3" s="529" t="s">
        <v>521</v>
      </c>
      <c r="J3" s="315">
        <f>SUM(C6,C47,C87,C126)</f>
        <v>0</v>
      </c>
    </row>
    <row r="4" spans="1:10" x14ac:dyDescent="0.25">
      <c r="A4" s="838" t="s">
        <v>79</v>
      </c>
      <c r="B4" s="838"/>
      <c r="C4" s="838"/>
      <c r="D4" s="838"/>
      <c r="E4" s="838"/>
      <c r="F4" s="838"/>
      <c r="G4" s="838"/>
      <c r="H4" s="838"/>
    </row>
    <row r="5" spans="1:10" ht="46.7" customHeight="1" x14ac:dyDescent="0.25">
      <c r="A5" s="504" t="s">
        <v>493</v>
      </c>
      <c r="B5" s="505" t="s">
        <v>610</v>
      </c>
      <c r="C5" s="578" t="s">
        <v>611</v>
      </c>
      <c r="D5" s="505" t="s">
        <v>612</v>
      </c>
      <c r="E5" s="505" t="s">
        <v>7</v>
      </c>
      <c r="F5" s="505" t="s">
        <v>613</v>
      </c>
      <c r="G5" s="505" t="s">
        <v>614</v>
      </c>
      <c r="H5" s="506" t="s">
        <v>29</v>
      </c>
    </row>
    <row r="6" spans="1:10" ht="30.2" customHeight="1" x14ac:dyDescent="0.25">
      <c r="A6" s="213"/>
      <c r="B6" s="576" t="str">
        <f>IF($A6="","",(LOOKUP($A6,'Catchment Summary Table'!$A$4:$A$33,'Catchment Summary Table'!$B$4:$B$33)))</f>
        <v/>
      </c>
      <c r="C6" s="576" t="str">
        <f>IF($A6="","",(LOOKUP($A6,'Catchment Summary Table'!$A$4:$A$33,'Catchment Summary Table'!$C$4:$C$33)))</f>
        <v/>
      </c>
      <c r="D6" s="576" t="str">
        <f>IF($A6="","",(LOOKUP($A6,'Catchment Summary Table'!$A$4:$A$33,'Catchment Summary Table'!$D$4:$D$33)))</f>
        <v/>
      </c>
      <c r="E6" s="576" t="str">
        <f>IF($A6="","",(LOOKUP($A6,'Catchment Summary Table'!$A$4:$A$33,'Catchment Summary Table'!$E$4:$E$33)))</f>
        <v/>
      </c>
      <c r="F6" s="576" t="str">
        <f>IF($A6="","",(LOOKUP($A6,'Catchment Summary Table'!$A$4:$A$33,'Catchment Summary Table'!$F$4:$F$33)))</f>
        <v/>
      </c>
      <c r="G6" s="577" t="str">
        <f>IF(B6="","",IFERROR('Total WQv Calculation'!$B$4,""))</f>
        <v/>
      </c>
      <c r="H6" s="546" t="str">
        <f>IF($A6="","",(LOOKUP($A6,'Catchment Summary Table'!$A$4:$A$33,'Catchment Summary Table'!$G$4:$G$33)))</f>
        <v/>
      </c>
    </row>
    <row r="7" spans="1:10" x14ac:dyDescent="0.25">
      <c r="A7" s="695"/>
      <c r="B7" s="695"/>
      <c r="C7" s="695"/>
      <c r="D7" s="695"/>
      <c r="E7" s="695"/>
      <c r="F7" s="695"/>
      <c r="G7" s="695"/>
      <c r="H7" s="695"/>
    </row>
    <row r="8" spans="1:10" ht="15" customHeight="1" x14ac:dyDescent="0.25">
      <c r="A8" s="840" t="s">
        <v>91</v>
      </c>
      <c r="B8" s="840"/>
      <c r="C8" s="840"/>
      <c r="D8" s="840"/>
      <c r="E8" s="840"/>
      <c r="F8" s="840"/>
      <c r="G8" s="840"/>
      <c r="H8" s="840"/>
    </row>
    <row r="9" spans="1:10" ht="15" customHeight="1" x14ac:dyDescent="0.25">
      <c r="A9" s="499"/>
      <c r="G9" s="930" t="s">
        <v>30</v>
      </c>
      <c r="H9" s="930"/>
    </row>
    <row r="10" spans="1:10" ht="15" customHeight="1" x14ac:dyDescent="0.25">
      <c r="A10" s="844" t="s">
        <v>92</v>
      </c>
      <c r="B10" s="844"/>
      <c r="C10" s="844"/>
      <c r="D10" s="510" t="s">
        <v>155</v>
      </c>
      <c r="E10" s="103"/>
      <c r="F10" s="516" t="s">
        <v>210</v>
      </c>
      <c r="G10" s="921"/>
      <c r="H10" s="921"/>
    </row>
    <row r="11" spans="1:10" ht="15" customHeight="1" x14ac:dyDescent="0.25">
      <c r="A11" s="844" t="s">
        <v>93</v>
      </c>
      <c r="B11" s="844"/>
      <c r="C11" s="844"/>
      <c r="D11" s="510" t="s">
        <v>156</v>
      </c>
      <c r="E11" s="509"/>
      <c r="F11" s="516" t="s">
        <v>12</v>
      </c>
      <c r="G11" s="921" t="s">
        <v>314</v>
      </c>
      <c r="H11" s="921"/>
    </row>
    <row r="12" spans="1:10" ht="15" customHeight="1" x14ac:dyDescent="0.25">
      <c r="A12" s="844" t="s">
        <v>94</v>
      </c>
      <c r="B12" s="844"/>
      <c r="C12" s="844"/>
      <c r="D12" s="510" t="s">
        <v>157</v>
      </c>
      <c r="E12" s="104"/>
      <c r="F12" s="516" t="s">
        <v>12</v>
      </c>
      <c r="G12" s="921"/>
      <c r="H12" s="921"/>
    </row>
    <row r="13" spans="1:10" ht="15" customHeight="1" x14ac:dyDescent="0.25">
      <c r="A13" s="844" t="s">
        <v>95</v>
      </c>
      <c r="B13" s="844"/>
      <c r="C13" s="844"/>
      <c r="D13" s="510" t="s">
        <v>158</v>
      </c>
      <c r="E13" s="104"/>
      <c r="F13" s="516" t="s">
        <v>12</v>
      </c>
      <c r="G13" s="921"/>
      <c r="H13" s="921"/>
    </row>
    <row r="14" spans="1:10" ht="15" customHeight="1" x14ac:dyDescent="0.25">
      <c r="A14" s="844" t="s">
        <v>96</v>
      </c>
      <c r="B14" s="844"/>
      <c r="C14" s="844"/>
      <c r="D14" s="510" t="s">
        <v>159</v>
      </c>
      <c r="E14" s="68"/>
      <c r="F14" s="516"/>
      <c r="G14" s="921" t="s">
        <v>99</v>
      </c>
      <c r="H14" s="921"/>
    </row>
    <row r="15" spans="1:10" ht="15" customHeight="1" x14ac:dyDescent="0.25">
      <c r="A15" s="844" t="s">
        <v>97</v>
      </c>
      <c r="B15" s="844"/>
      <c r="C15" s="844"/>
      <c r="D15" s="510" t="s">
        <v>160</v>
      </c>
      <c r="E15" s="68"/>
      <c r="F15" s="516"/>
      <c r="G15" s="921" t="s">
        <v>100</v>
      </c>
      <c r="H15" s="921"/>
    </row>
    <row r="16" spans="1:10" ht="15" customHeight="1" x14ac:dyDescent="0.25">
      <c r="A16" s="695"/>
      <c r="B16" s="695"/>
      <c r="C16" s="695"/>
      <c r="D16" s="695"/>
      <c r="E16" s="695"/>
      <c r="F16" s="695"/>
      <c r="G16" s="695"/>
      <c r="H16" s="695"/>
    </row>
    <row r="17" spans="1:8" ht="15" customHeight="1" x14ac:dyDescent="0.25">
      <c r="A17" s="840" t="s">
        <v>98</v>
      </c>
      <c r="B17" s="840"/>
      <c r="C17" s="840"/>
      <c r="D17" s="840"/>
      <c r="E17" s="840"/>
      <c r="F17" s="840"/>
      <c r="G17" s="840"/>
      <c r="H17" s="840"/>
    </row>
    <row r="18" spans="1:8" ht="15" customHeight="1" x14ac:dyDescent="0.25">
      <c r="A18" s="723" t="s">
        <v>101</v>
      </c>
      <c r="B18" s="723"/>
      <c r="C18" s="723"/>
      <c r="D18" s="510" t="s">
        <v>161</v>
      </c>
      <c r="E18" s="514">
        <f>E10*E11*E14</f>
        <v>0</v>
      </c>
      <c r="F18" s="65" t="s">
        <v>207</v>
      </c>
      <c r="H18" s="567"/>
    </row>
    <row r="19" spans="1:8" ht="15" customHeight="1" x14ac:dyDescent="0.25">
      <c r="A19" s="723" t="s">
        <v>102</v>
      </c>
      <c r="B19" s="723"/>
      <c r="C19" s="723"/>
      <c r="D19" s="510" t="s">
        <v>162</v>
      </c>
      <c r="E19" s="514">
        <f>E10*E12*E15</f>
        <v>0</v>
      </c>
      <c r="F19" s="65" t="s">
        <v>207</v>
      </c>
      <c r="H19" s="339"/>
    </row>
    <row r="20" spans="1:8" ht="15" customHeight="1" x14ac:dyDescent="0.25">
      <c r="A20" s="723" t="s">
        <v>315</v>
      </c>
      <c r="B20" s="723"/>
      <c r="C20" s="723"/>
      <c r="D20" s="510"/>
      <c r="E20" s="514">
        <f>+E10*E13</f>
        <v>0</v>
      </c>
      <c r="F20" s="65" t="s">
        <v>207</v>
      </c>
      <c r="H20" s="339"/>
    </row>
    <row r="21" spans="1:8" ht="15" customHeight="1" x14ac:dyDescent="0.25">
      <c r="A21" s="723" t="s">
        <v>242</v>
      </c>
      <c r="B21" s="723"/>
      <c r="C21" s="723"/>
      <c r="D21" s="507"/>
      <c r="E21" s="514">
        <f>SUM(E18:E20)</f>
        <v>0</v>
      </c>
      <c r="F21" s="65" t="s">
        <v>207</v>
      </c>
      <c r="G21" s="621"/>
      <c r="H21" s="332"/>
    </row>
    <row r="22" spans="1:8" ht="15" customHeight="1" x14ac:dyDescent="0.25">
      <c r="A22" s="695"/>
      <c r="B22" s="695"/>
      <c r="C22" s="695"/>
      <c r="D22" s="695"/>
      <c r="E22" s="695"/>
      <c r="F22" s="695"/>
      <c r="G22" s="695"/>
      <c r="H22" s="695"/>
    </row>
    <row r="23" spans="1:8" ht="15" customHeight="1" x14ac:dyDescent="0.25">
      <c r="A23" s="770" t="s">
        <v>32</v>
      </c>
      <c r="B23" s="770"/>
      <c r="C23" s="770"/>
      <c r="D23" s="706"/>
      <c r="E23" s="296" t="str">
        <f>IF(E21&gt;=F6,F6,"Error")</f>
        <v>Error</v>
      </c>
      <c r="F23" s="515" t="s">
        <v>554</v>
      </c>
      <c r="G23" s="770"/>
      <c r="H23" s="770"/>
    </row>
    <row r="24" spans="1:8" x14ac:dyDescent="0.25">
      <c r="A24" s="622"/>
      <c r="H24" s="622"/>
    </row>
    <row r="25" spans="1:8" x14ac:dyDescent="0.25">
      <c r="A25" s="623"/>
      <c r="B25" s="622"/>
      <c r="C25" s="622"/>
      <c r="D25" s="622"/>
      <c r="E25" s="622"/>
      <c r="F25" s="622"/>
      <c r="G25" s="622"/>
      <c r="H25" s="567"/>
    </row>
    <row r="26" spans="1:8" x14ac:dyDescent="0.25">
      <c r="A26" s="624"/>
      <c r="H26" s="339"/>
    </row>
    <row r="27" spans="1:8" x14ac:dyDescent="0.25">
      <c r="A27" s="624"/>
      <c r="H27" s="339"/>
    </row>
    <row r="28" spans="1:8" x14ac:dyDescent="0.25">
      <c r="A28" s="624"/>
      <c r="H28" s="339"/>
    </row>
    <row r="29" spans="1:8" x14ac:dyDescent="0.25">
      <c r="A29" s="624"/>
      <c r="H29" s="339"/>
    </row>
    <row r="30" spans="1:8" x14ac:dyDescent="0.25">
      <c r="A30" s="624"/>
      <c r="H30" s="339"/>
    </row>
    <row r="31" spans="1:8" x14ac:dyDescent="0.25">
      <c r="A31" s="624"/>
      <c r="H31" s="339"/>
    </row>
    <row r="32" spans="1:8" x14ac:dyDescent="0.25">
      <c r="A32" s="624"/>
      <c r="H32" s="339"/>
    </row>
    <row r="33" spans="1:8" x14ac:dyDescent="0.25">
      <c r="A33" s="624"/>
      <c r="H33" s="339"/>
    </row>
    <row r="34" spans="1:8" x14ac:dyDescent="0.25">
      <c r="A34" s="624"/>
      <c r="H34" s="339"/>
    </row>
    <row r="35" spans="1:8" x14ac:dyDescent="0.25">
      <c r="A35" s="624"/>
      <c r="H35" s="339"/>
    </row>
    <row r="36" spans="1:8" x14ac:dyDescent="0.25">
      <c r="A36" s="621"/>
      <c r="B36" s="625"/>
      <c r="C36" s="625"/>
      <c r="D36" s="625"/>
      <c r="E36" s="625"/>
      <c r="F36" s="625"/>
      <c r="G36" s="625"/>
      <c r="H36" s="332"/>
    </row>
    <row r="42" spans="1:8" x14ac:dyDescent="0.25">
      <c r="A42" s="695" t="s">
        <v>152</v>
      </c>
      <c r="B42" s="695"/>
      <c r="C42" s="695"/>
      <c r="D42" s="695" t="s">
        <v>153</v>
      </c>
      <c r="E42" s="695"/>
      <c r="F42" s="695"/>
      <c r="G42" s="695" t="s">
        <v>154</v>
      </c>
      <c r="H42" s="695"/>
    </row>
    <row r="43" spans="1:8" x14ac:dyDescent="0.25">
      <c r="A43" s="501"/>
      <c r="B43" s="501"/>
      <c r="C43" s="501"/>
      <c r="D43" s="501"/>
      <c r="E43" s="501"/>
      <c r="F43" s="501"/>
      <c r="G43" s="501"/>
      <c r="H43" s="501"/>
    </row>
    <row r="44" spans="1:8" x14ac:dyDescent="0.25">
      <c r="A44" s="561" t="s">
        <v>600</v>
      </c>
      <c r="B44" s="562" t="str">
        <f>IF('Total WQv Calculation'!$B$3="","",'Total WQv Calculation'!$B$3)</f>
        <v/>
      </c>
      <c r="C44" s="501"/>
      <c r="D44" s="501"/>
      <c r="E44" s="501"/>
      <c r="F44" s="501"/>
      <c r="G44" s="501"/>
      <c r="H44" s="501"/>
    </row>
    <row r="45" spans="1:8" x14ac:dyDescent="0.25">
      <c r="A45" s="838" t="s">
        <v>79</v>
      </c>
      <c r="B45" s="838"/>
      <c r="C45" s="838"/>
      <c r="D45" s="838"/>
      <c r="E45" s="838"/>
      <c r="F45" s="838"/>
      <c r="G45" s="838"/>
      <c r="H45" s="838"/>
    </row>
    <row r="46" spans="1:8" ht="46.7" customHeight="1" x14ac:dyDescent="0.25">
      <c r="A46" s="504" t="s">
        <v>493</v>
      </c>
      <c r="B46" s="505" t="s">
        <v>610</v>
      </c>
      <c r="C46" s="578" t="s">
        <v>611</v>
      </c>
      <c r="D46" s="505" t="s">
        <v>612</v>
      </c>
      <c r="E46" s="505" t="s">
        <v>7</v>
      </c>
      <c r="F46" s="505" t="s">
        <v>613</v>
      </c>
      <c r="G46" s="505" t="s">
        <v>614</v>
      </c>
      <c r="H46" s="506" t="s">
        <v>29</v>
      </c>
    </row>
    <row r="47" spans="1:8" ht="30.2" customHeight="1" x14ac:dyDescent="0.25">
      <c r="A47" s="213"/>
      <c r="B47" s="576" t="str">
        <f>IF($A47="","",(LOOKUP($A47,'Catchment Summary Table'!$A$4:$A$33,'Catchment Summary Table'!$B$4:$B$33)))</f>
        <v/>
      </c>
      <c r="C47" s="576" t="str">
        <f>IF($A47="","",(LOOKUP($A47,'Catchment Summary Table'!$A$4:$A$33,'Catchment Summary Table'!$C$4:$C$33)))</f>
        <v/>
      </c>
      <c r="D47" s="576" t="str">
        <f>IF($A47="","",(LOOKUP($A47,'Catchment Summary Table'!$A$4:$A$33,'Catchment Summary Table'!$D$4:$D$33)))</f>
        <v/>
      </c>
      <c r="E47" s="576" t="str">
        <f>IF($A47="","",(LOOKUP($A47,'Catchment Summary Table'!$A$4:$A$33,'Catchment Summary Table'!$E$4:$E$33)))</f>
        <v/>
      </c>
      <c r="F47" s="576" t="str">
        <f>IF($A47="","",(LOOKUP($A47,'Catchment Summary Table'!$A$4:$A$33,'Catchment Summary Table'!$F$4:$F$33)))</f>
        <v/>
      </c>
      <c r="G47" s="577" t="str">
        <f>IF(B47="","",IFERROR('Total WQv Calculation'!$B$4,""))</f>
        <v/>
      </c>
      <c r="H47" s="546" t="str">
        <f>IF($A47="","",(LOOKUP($A47,'Catchment Summary Table'!$A$4:$A$33,'Catchment Summary Table'!$G$4:$G$33)))</f>
        <v/>
      </c>
    </row>
    <row r="48" spans="1:8" x14ac:dyDescent="0.25">
      <c r="A48" s="695"/>
      <c r="B48" s="695"/>
      <c r="C48" s="695"/>
      <c r="D48" s="695"/>
      <c r="E48" s="695"/>
      <c r="F48" s="695"/>
      <c r="G48" s="695"/>
      <c r="H48" s="695"/>
    </row>
    <row r="49" spans="1:8" ht="15" customHeight="1" x14ac:dyDescent="0.25">
      <c r="A49" s="840" t="s">
        <v>91</v>
      </c>
      <c r="B49" s="840"/>
      <c r="C49" s="840"/>
      <c r="D49" s="840"/>
      <c r="E49" s="840"/>
      <c r="F49" s="840"/>
      <c r="G49" s="840"/>
      <c r="H49" s="840"/>
    </row>
    <row r="50" spans="1:8" ht="15" customHeight="1" x14ac:dyDescent="0.25">
      <c r="A50" s="723"/>
      <c r="B50" s="723"/>
      <c r="C50" s="723"/>
      <c r="D50" s="723"/>
      <c r="E50" s="723"/>
      <c r="F50" s="723"/>
      <c r="G50" s="752" t="s">
        <v>30</v>
      </c>
      <c r="H50" s="752"/>
    </row>
    <row r="51" spans="1:8" ht="15" customHeight="1" x14ac:dyDescent="0.25">
      <c r="A51" s="844" t="s">
        <v>92</v>
      </c>
      <c r="B51" s="844"/>
      <c r="C51" s="844"/>
      <c r="D51" s="510" t="s">
        <v>155</v>
      </c>
      <c r="E51" s="626"/>
      <c r="F51" s="516" t="s">
        <v>210</v>
      </c>
      <c r="G51" s="921"/>
      <c r="H51" s="921"/>
    </row>
    <row r="52" spans="1:8" ht="15" customHeight="1" x14ac:dyDescent="0.25">
      <c r="A52" s="844" t="s">
        <v>93</v>
      </c>
      <c r="B52" s="844"/>
      <c r="C52" s="844"/>
      <c r="D52" s="510" t="s">
        <v>156</v>
      </c>
      <c r="E52" s="627"/>
      <c r="F52" s="516" t="s">
        <v>12</v>
      </c>
      <c r="G52" s="921" t="s">
        <v>314</v>
      </c>
      <c r="H52" s="921"/>
    </row>
    <row r="53" spans="1:8" ht="15" customHeight="1" x14ac:dyDescent="0.25">
      <c r="A53" s="844" t="s">
        <v>94</v>
      </c>
      <c r="B53" s="844"/>
      <c r="C53" s="844"/>
      <c r="D53" s="510" t="s">
        <v>157</v>
      </c>
      <c r="E53" s="628"/>
      <c r="F53" s="516" t="s">
        <v>12</v>
      </c>
      <c r="G53" s="921"/>
      <c r="H53" s="921"/>
    </row>
    <row r="54" spans="1:8" ht="15" customHeight="1" x14ac:dyDescent="0.25">
      <c r="A54" s="844" t="s">
        <v>95</v>
      </c>
      <c r="B54" s="844"/>
      <c r="C54" s="844"/>
      <c r="D54" s="510" t="s">
        <v>158</v>
      </c>
      <c r="E54" s="628"/>
      <c r="F54" s="516" t="s">
        <v>12</v>
      </c>
      <c r="G54" s="921"/>
      <c r="H54" s="921"/>
    </row>
    <row r="55" spans="1:8" ht="15" customHeight="1" x14ac:dyDescent="0.25">
      <c r="A55" s="844" t="s">
        <v>96</v>
      </c>
      <c r="B55" s="844"/>
      <c r="C55" s="844"/>
      <c r="D55" s="510" t="s">
        <v>159</v>
      </c>
      <c r="E55" s="629"/>
      <c r="F55" s="516"/>
      <c r="G55" s="921" t="s">
        <v>99</v>
      </c>
      <c r="H55" s="921"/>
    </row>
    <row r="56" spans="1:8" ht="15" customHeight="1" x14ac:dyDescent="0.25">
      <c r="A56" s="844" t="s">
        <v>97</v>
      </c>
      <c r="B56" s="844"/>
      <c r="C56" s="844"/>
      <c r="D56" s="510" t="s">
        <v>160</v>
      </c>
      <c r="E56" s="629"/>
      <c r="F56" s="516"/>
      <c r="G56" s="921" t="s">
        <v>100</v>
      </c>
      <c r="H56" s="921"/>
    </row>
    <row r="57" spans="1:8" ht="15" customHeight="1" x14ac:dyDescent="0.25">
      <c r="A57" s="695"/>
      <c r="B57" s="695"/>
      <c r="C57" s="695"/>
      <c r="D57" s="695"/>
      <c r="E57" s="695"/>
      <c r="F57" s="695"/>
      <c r="G57" s="695"/>
      <c r="H57" s="695"/>
    </row>
    <row r="58" spans="1:8" ht="15" customHeight="1" x14ac:dyDescent="0.25">
      <c r="A58" s="840" t="s">
        <v>98</v>
      </c>
      <c r="B58" s="840"/>
      <c r="C58" s="840"/>
      <c r="D58" s="840"/>
      <c r="E58" s="840"/>
      <c r="F58" s="840"/>
      <c r="G58" s="840"/>
      <c r="H58" s="840"/>
    </row>
    <row r="59" spans="1:8" ht="15" customHeight="1" x14ac:dyDescent="0.25">
      <c r="A59" s="723" t="s">
        <v>101</v>
      </c>
      <c r="B59" s="723"/>
      <c r="C59" s="723"/>
      <c r="D59" s="510" t="s">
        <v>161</v>
      </c>
      <c r="E59" s="514">
        <f>E51*E52*E55</f>
        <v>0</v>
      </c>
      <c r="F59" s="65" t="s">
        <v>207</v>
      </c>
      <c r="H59" s="567"/>
    </row>
    <row r="60" spans="1:8" ht="15" customHeight="1" x14ac:dyDescent="0.25">
      <c r="A60" s="723" t="s">
        <v>102</v>
      </c>
      <c r="B60" s="723"/>
      <c r="C60" s="723"/>
      <c r="D60" s="510" t="s">
        <v>162</v>
      </c>
      <c r="E60" s="514">
        <f>E51*E53*E56</f>
        <v>0</v>
      </c>
      <c r="F60" s="65" t="s">
        <v>207</v>
      </c>
      <c r="H60" s="339"/>
    </row>
    <row r="61" spans="1:8" ht="15" customHeight="1" x14ac:dyDescent="0.25">
      <c r="A61" s="723" t="s">
        <v>315</v>
      </c>
      <c r="B61" s="723"/>
      <c r="C61" s="723"/>
      <c r="D61" s="510"/>
      <c r="E61" s="514">
        <f>+E51*E54</f>
        <v>0</v>
      </c>
      <c r="F61" s="65" t="s">
        <v>207</v>
      </c>
      <c r="H61" s="339"/>
    </row>
    <row r="62" spans="1:8" ht="15" customHeight="1" x14ac:dyDescent="0.25">
      <c r="A62" s="723" t="s">
        <v>242</v>
      </c>
      <c r="B62" s="723"/>
      <c r="C62" s="723"/>
      <c r="D62" s="507"/>
      <c r="E62" s="514">
        <f>SUM(E59:E61)</f>
        <v>0</v>
      </c>
      <c r="F62" s="65" t="s">
        <v>207</v>
      </c>
      <c r="G62" s="621"/>
      <c r="H62" s="332"/>
    </row>
    <row r="63" spans="1:8" x14ac:dyDescent="0.25">
      <c r="A63" s="695"/>
      <c r="B63" s="695"/>
      <c r="C63" s="695"/>
      <c r="D63" s="695"/>
      <c r="E63" s="695"/>
      <c r="F63" s="695"/>
      <c r="G63" s="695"/>
      <c r="H63" s="695"/>
    </row>
    <row r="64" spans="1:8" ht="30.2" customHeight="1" x14ac:dyDescent="0.25">
      <c r="A64" s="927" t="s">
        <v>32</v>
      </c>
      <c r="B64" s="883"/>
      <c r="C64" s="883"/>
      <c r="D64" s="710"/>
      <c r="E64" s="296" t="str">
        <f>IF(E62&gt;=F47,F47,"Error")</f>
        <v>Error</v>
      </c>
      <c r="F64" s="515" t="s">
        <v>554</v>
      </c>
      <c r="G64" s="928"/>
      <c r="H64" s="929"/>
    </row>
    <row r="65" spans="1:8" x14ac:dyDescent="0.25">
      <c r="A65" s="530"/>
      <c r="E65" s="501"/>
      <c r="H65" s="530"/>
    </row>
    <row r="66" spans="1:8" x14ac:dyDescent="0.25">
      <c r="A66" s="623"/>
      <c r="B66" s="622"/>
      <c r="C66" s="622"/>
      <c r="D66" s="622"/>
      <c r="E66" s="526"/>
      <c r="F66" s="622"/>
      <c r="G66" s="622"/>
      <c r="H66" s="567"/>
    </row>
    <row r="67" spans="1:8" x14ac:dyDescent="0.25">
      <c r="A67" s="624"/>
      <c r="E67" s="501"/>
      <c r="H67" s="339"/>
    </row>
    <row r="68" spans="1:8" x14ac:dyDescent="0.25">
      <c r="A68" s="624"/>
      <c r="E68" s="501"/>
      <c r="H68" s="339"/>
    </row>
    <row r="69" spans="1:8" x14ac:dyDescent="0.25">
      <c r="A69" s="624"/>
      <c r="E69" s="501"/>
      <c r="H69" s="339"/>
    </row>
    <row r="70" spans="1:8" x14ac:dyDescent="0.25">
      <c r="A70" s="624"/>
      <c r="H70" s="339"/>
    </row>
    <row r="71" spans="1:8" x14ac:dyDescent="0.25">
      <c r="A71" s="624"/>
      <c r="H71" s="339"/>
    </row>
    <row r="72" spans="1:8" x14ac:dyDescent="0.25">
      <c r="A72" s="624"/>
      <c r="H72" s="339"/>
    </row>
    <row r="73" spans="1:8" x14ac:dyDescent="0.25">
      <c r="A73" s="624"/>
      <c r="H73" s="339"/>
    </row>
    <row r="74" spans="1:8" x14ac:dyDescent="0.25">
      <c r="A74" s="624"/>
      <c r="H74" s="339"/>
    </row>
    <row r="75" spans="1:8" x14ac:dyDescent="0.25">
      <c r="A75" s="624"/>
      <c r="H75" s="339"/>
    </row>
    <row r="76" spans="1:8" x14ac:dyDescent="0.25">
      <c r="A76" s="624"/>
      <c r="H76" s="339"/>
    </row>
    <row r="77" spans="1:8" x14ac:dyDescent="0.25">
      <c r="A77" s="621"/>
      <c r="B77" s="625"/>
      <c r="C77" s="625"/>
      <c r="D77" s="625"/>
      <c r="E77" s="625"/>
      <c r="F77" s="625"/>
      <c r="G77" s="625"/>
      <c r="H77" s="332"/>
    </row>
    <row r="82" spans="1:8" x14ac:dyDescent="0.25">
      <c r="A82" s="695" t="s">
        <v>152</v>
      </c>
      <c r="B82" s="695"/>
      <c r="C82" s="695"/>
      <c r="D82" s="695" t="s">
        <v>153</v>
      </c>
      <c r="E82" s="695"/>
      <c r="F82" s="695"/>
      <c r="G82" s="695" t="s">
        <v>154</v>
      </c>
      <c r="H82" s="695"/>
    </row>
    <row r="83" spans="1:8" x14ac:dyDescent="0.25">
      <c r="A83" s="501"/>
      <c r="B83" s="501"/>
      <c r="C83" s="501"/>
      <c r="D83" s="501"/>
      <c r="E83" s="501"/>
      <c r="F83" s="501"/>
      <c r="G83" s="501"/>
      <c r="H83" s="501"/>
    </row>
    <row r="84" spans="1:8" x14ac:dyDescent="0.25">
      <c r="A84" s="561" t="s">
        <v>600</v>
      </c>
      <c r="B84" s="562" t="str">
        <f>IF('Total WQv Calculation'!$B$3="","",'Total WQv Calculation'!$B$3)</f>
        <v/>
      </c>
      <c r="C84" s="501"/>
      <c r="D84" s="501"/>
      <c r="E84" s="501"/>
      <c r="F84" s="501"/>
      <c r="G84" s="501"/>
      <c r="H84" s="501"/>
    </row>
    <row r="85" spans="1:8" x14ac:dyDescent="0.25">
      <c r="A85" s="667" t="s">
        <v>79</v>
      </c>
      <c r="B85" s="668"/>
      <c r="C85" s="668"/>
      <c r="D85" s="668"/>
      <c r="E85" s="668"/>
      <c r="F85" s="668"/>
      <c r="G85" s="668"/>
      <c r="H85" s="669"/>
    </row>
    <row r="86" spans="1:8" ht="46.7" customHeight="1" x14ac:dyDescent="0.25">
      <c r="A86" s="504" t="s">
        <v>493</v>
      </c>
      <c r="B86" s="505" t="s">
        <v>610</v>
      </c>
      <c r="C86" s="578" t="s">
        <v>611</v>
      </c>
      <c r="D86" s="505" t="s">
        <v>612</v>
      </c>
      <c r="E86" s="505" t="s">
        <v>7</v>
      </c>
      <c r="F86" s="505" t="s">
        <v>613</v>
      </c>
      <c r="G86" s="505" t="s">
        <v>614</v>
      </c>
      <c r="H86" s="506" t="s">
        <v>29</v>
      </c>
    </row>
    <row r="87" spans="1:8" ht="30.2" customHeight="1" x14ac:dyDescent="0.25">
      <c r="A87" s="213"/>
      <c r="B87" s="576" t="str">
        <f>IF($A87="","",(LOOKUP($A87,'Catchment Summary Table'!$A$4:$A$33,'Catchment Summary Table'!$B$4:$B$33)))</f>
        <v/>
      </c>
      <c r="C87" s="576" t="str">
        <f>IF($A87="","",(LOOKUP($A87,'Catchment Summary Table'!$A$4:$A$33,'Catchment Summary Table'!$C$4:$C$33)))</f>
        <v/>
      </c>
      <c r="D87" s="576" t="str">
        <f>IF($A87="","",(LOOKUP($A87,'Catchment Summary Table'!$A$4:$A$33,'Catchment Summary Table'!$D$4:$D$33)))</f>
        <v/>
      </c>
      <c r="E87" s="576" t="str">
        <f>IF($A87="","",(LOOKUP($A87,'Catchment Summary Table'!$A$4:$A$33,'Catchment Summary Table'!$E$4:$E$33)))</f>
        <v/>
      </c>
      <c r="F87" s="576" t="str">
        <f>IF($A87="","",(LOOKUP($A87,'Catchment Summary Table'!$A$4:$A$33,'Catchment Summary Table'!$F$4:$F$33)))</f>
        <v/>
      </c>
      <c r="G87" s="577" t="str">
        <f>IF(B87="","",IFERROR('Total WQv Calculation'!$B$4,""))</f>
        <v/>
      </c>
      <c r="H87" s="546" t="str">
        <f>IF($A87="","",(LOOKUP($A87,'Catchment Summary Table'!$A$4:$A$33,'Catchment Summary Table'!$G$4:$G$33)))</f>
        <v/>
      </c>
    </row>
    <row r="88" spans="1:8" x14ac:dyDescent="0.25">
      <c r="A88" s="695"/>
      <c r="B88" s="695"/>
      <c r="C88" s="695"/>
      <c r="D88" s="695"/>
      <c r="E88" s="695"/>
      <c r="F88" s="695"/>
      <c r="G88" s="695"/>
      <c r="H88" s="695"/>
    </row>
    <row r="89" spans="1:8" x14ac:dyDescent="0.25">
      <c r="A89" s="840" t="s">
        <v>91</v>
      </c>
      <c r="B89" s="840"/>
      <c r="C89" s="840"/>
      <c r="D89" s="840"/>
      <c r="E89" s="840"/>
      <c r="F89" s="840"/>
      <c r="G89" s="840"/>
      <c r="H89" s="840"/>
    </row>
    <row r="90" spans="1:8" x14ac:dyDescent="0.25">
      <c r="A90" s="499"/>
      <c r="G90" s="752" t="s">
        <v>30</v>
      </c>
      <c r="H90" s="752"/>
    </row>
    <row r="91" spans="1:8" ht="17.25" x14ac:dyDescent="0.25">
      <c r="A91" s="844" t="s">
        <v>92</v>
      </c>
      <c r="B91" s="844"/>
      <c r="C91" s="844"/>
      <c r="D91" s="510" t="s">
        <v>155</v>
      </c>
      <c r="E91" s="626"/>
      <c r="F91" s="516" t="s">
        <v>210</v>
      </c>
      <c r="G91" s="921"/>
      <c r="H91" s="921"/>
    </row>
    <row r="92" spans="1:8" x14ac:dyDescent="0.25">
      <c r="A92" s="844" t="s">
        <v>93</v>
      </c>
      <c r="B92" s="844"/>
      <c r="C92" s="844"/>
      <c r="D92" s="510" t="s">
        <v>156</v>
      </c>
      <c r="E92" s="627"/>
      <c r="F92" s="516" t="s">
        <v>12</v>
      </c>
      <c r="G92" s="921" t="s">
        <v>314</v>
      </c>
      <c r="H92" s="921"/>
    </row>
    <row r="93" spans="1:8" x14ac:dyDescent="0.25">
      <c r="A93" s="844" t="s">
        <v>94</v>
      </c>
      <c r="B93" s="844"/>
      <c r="C93" s="844"/>
      <c r="D93" s="510" t="s">
        <v>157</v>
      </c>
      <c r="E93" s="628"/>
      <c r="F93" s="516" t="s">
        <v>12</v>
      </c>
      <c r="G93" s="921"/>
      <c r="H93" s="921"/>
    </row>
    <row r="94" spans="1:8" x14ac:dyDescent="0.25">
      <c r="A94" s="844" t="s">
        <v>95</v>
      </c>
      <c r="B94" s="844"/>
      <c r="C94" s="844"/>
      <c r="D94" s="510" t="s">
        <v>158</v>
      </c>
      <c r="E94" s="628"/>
      <c r="F94" s="516" t="s">
        <v>12</v>
      </c>
      <c r="G94" s="921"/>
      <c r="H94" s="921"/>
    </row>
    <row r="95" spans="1:8" x14ac:dyDescent="0.25">
      <c r="A95" s="844" t="s">
        <v>96</v>
      </c>
      <c r="B95" s="844"/>
      <c r="C95" s="844"/>
      <c r="D95" s="510" t="s">
        <v>159</v>
      </c>
      <c r="E95" s="629"/>
      <c r="F95" s="516"/>
      <c r="G95" s="921" t="s">
        <v>99</v>
      </c>
      <c r="H95" s="921"/>
    </row>
    <row r="96" spans="1:8" x14ac:dyDescent="0.25">
      <c r="A96" s="844" t="s">
        <v>97</v>
      </c>
      <c r="B96" s="844"/>
      <c r="C96" s="844"/>
      <c r="D96" s="510" t="s">
        <v>160</v>
      </c>
      <c r="E96" s="629"/>
      <c r="F96" s="516"/>
      <c r="G96" s="921" t="s">
        <v>100</v>
      </c>
      <c r="H96" s="921"/>
    </row>
    <row r="97" spans="1:8" x14ac:dyDescent="0.25">
      <c r="A97" s="695"/>
      <c r="B97" s="695"/>
      <c r="C97" s="695"/>
      <c r="D97" s="695"/>
      <c r="E97" s="695"/>
      <c r="F97" s="695"/>
      <c r="G97" s="695"/>
      <c r="H97" s="695"/>
    </row>
    <row r="98" spans="1:8" x14ac:dyDescent="0.25">
      <c r="A98" s="840" t="s">
        <v>98</v>
      </c>
      <c r="B98" s="840"/>
      <c r="C98" s="840"/>
      <c r="D98" s="840"/>
      <c r="E98" s="840"/>
      <c r="F98" s="840"/>
      <c r="G98" s="840"/>
      <c r="H98" s="840"/>
    </row>
    <row r="99" spans="1:8" ht="17.25" x14ac:dyDescent="0.25">
      <c r="A99" s="723" t="s">
        <v>101</v>
      </c>
      <c r="B99" s="723"/>
      <c r="C99" s="723"/>
      <c r="D99" s="510" t="s">
        <v>161</v>
      </c>
      <c r="E99" s="514">
        <f>E91*E92*E95</f>
        <v>0</v>
      </c>
      <c r="F99" s="65" t="s">
        <v>207</v>
      </c>
      <c r="H99" s="567"/>
    </row>
    <row r="100" spans="1:8" ht="17.25" x14ac:dyDescent="0.25">
      <c r="A100" s="723" t="s">
        <v>102</v>
      </c>
      <c r="B100" s="723"/>
      <c r="C100" s="723"/>
      <c r="D100" s="510" t="s">
        <v>162</v>
      </c>
      <c r="E100" s="514">
        <f>E91*E93*E96</f>
        <v>0</v>
      </c>
      <c r="F100" s="65" t="s">
        <v>207</v>
      </c>
      <c r="H100" s="339"/>
    </row>
    <row r="101" spans="1:8" ht="17.25" x14ac:dyDescent="0.25">
      <c r="A101" s="723" t="s">
        <v>315</v>
      </c>
      <c r="B101" s="723"/>
      <c r="C101" s="723"/>
      <c r="D101" s="510"/>
      <c r="E101" s="514">
        <f>+E91*E94</f>
        <v>0</v>
      </c>
      <c r="F101" s="65" t="s">
        <v>207</v>
      </c>
      <c r="H101" s="339"/>
    </row>
    <row r="102" spans="1:8" ht="15" customHeight="1" x14ac:dyDescent="0.25">
      <c r="A102" s="723" t="s">
        <v>242</v>
      </c>
      <c r="B102" s="723"/>
      <c r="C102" s="723"/>
      <c r="D102" s="507"/>
      <c r="E102" s="514">
        <f>SUM(E99:E101)</f>
        <v>0</v>
      </c>
      <c r="F102" s="65" t="s">
        <v>207</v>
      </c>
      <c r="G102" s="621"/>
      <c r="H102" s="332"/>
    </row>
    <row r="103" spans="1:8" x14ac:dyDescent="0.25">
      <c r="A103" s="695"/>
      <c r="B103" s="695"/>
      <c r="C103" s="695"/>
      <c r="D103" s="695"/>
      <c r="E103" s="695"/>
      <c r="F103" s="695"/>
      <c r="G103" s="695"/>
      <c r="H103" s="695"/>
    </row>
    <row r="104" spans="1:8" ht="30.2" customHeight="1" x14ac:dyDescent="0.25">
      <c r="A104" s="770" t="s">
        <v>32</v>
      </c>
      <c r="B104" s="770"/>
      <c r="C104" s="770"/>
      <c r="D104" s="706"/>
      <c r="E104" s="296" t="str">
        <f>IF(E102&gt;=F87,F87,"Error")</f>
        <v>Error</v>
      </c>
      <c r="F104" s="515" t="s">
        <v>554</v>
      </c>
      <c r="G104" s="770"/>
      <c r="H104" s="770"/>
    </row>
    <row r="105" spans="1:8" x14ac:dyDescent="0.25">
      <c r="A105" s="530"/>
      <c r="H105" s="530"/>
    </row>
    <row r="106" spans="1:8" x14ac:dyDescent="0.25">
      <c r="A106" s="623"/>
      <c r="B106" s="622"/>
      <c r="C106" s="622"/>
      <c r="D106" s="622"/>
      <c r="E106" s="622"/>
      <c r="F106" s="622"/>
      <c r="G106" s="622"/>
      <c r="H106" s="567"/>
    </row>
    <row r="107" spans="1:8" x14ac:dyDescent="0.25">
      <c r="A107" s="624"/>
      <c r="H107" s="339"/>
    </row>
    <row r="108" spans="1:8" x14ac:dyDescent="0.25">
      <c r="A108" s="624"/>
      <c r="H108" s="339"/>
    </row>
    <row r="109" spans="1:8" x14ac:dyDescent="0.25">
      <c r="A109" s="624"/>
      <c r="H109" s="339"/>
    </row>
    <row r="110" spans="1:8" x14ac:dyDescent="0.25">
      <c r="A110" s="624"/>
      <c r="H110" s="339"/>
    </row>
    <row r="111" spans="1:8" x14ac:dyDescent="0.25">
      <c r="A111" s="624"/>
      <c r="H111" s="339"/>
    </row>
    <row r="112" spans="1:8" x14ac:dyDescent="0.25">
      <c r="A112" s="624"/>
      <c r="H112" s="339"/>
    </row>
    <row r="113" spans="1:8" x14ac:dyDescent="0.25">
      <c r="A113" s="624"/>
      <c r="H113" s="339"/>
    </row>
    <row r="114" spans="1:8" x14ac:dyDescent="0.25">
      <c r="A114" s="624"/>
      <c r="H114" s="339"/>
    </row>
    <row r="115" spans="1:8" x14ac:dyDescent="0.25">
      <c r="A115" s="624"/>
      <c r="H115" s="339"/>
    </row>
    <row r="116" spans="1:8" x14ac:dyDescent="0.25">
      <c r="A116" s="624"/>
      <c r="H116" s="339"/>
    </row>
    <row r="117" spans="1:8" x14ac:dyDescent="0.25">
      <c r="A117" s="621"/>
      <c r="B117" s="625"/>
      <c r="C117" s="625"/>
      <c r="D117" s="625"/>
      <c r="E117" s="625"/>
      <c r="F117" s="625"/>
      <c r="G117" s="625"/>
      <c r="H117" s="332"/>
    </row>
    <row r="121" spans="1:8" x14ac:dyDescent="0.25">
      <c r="A121" s="695" t="s">
        <v>152</v>
      </c>
      <c r="B121" s="695"/>
      <c r="C121" s="695"/>
      <c r="D121" s="695" t="s">
        <v>153</v>
      </c>
      <c r="E121" s="695"/>
      <c r="F121" s="695"/>
      <c r="G121" s="695" t="s">
        <v>154</v>
      </c>
      <c r="H121" s="695"/>
    </row>
    <row r="122" spans="1:8" x14ac:dyDescent="0.25">
      <c r="A122" s="501"/>
      <c r="B122" s="501"/>
      <c r="C122" s="501"/>
      <c r="D122" s="501"/>
      <c r="E122" s="501"/>
      <c r="F122" s="501"/>
      <c r="G122" s="501"/>
      <c r="H122" s="501"/>
    </row>
    <row r="123" spans="1:8" x14ac:dyDescent="0.25">
      <c r="A123" s="561" t="s">
        <v>600</v>
      </c>
      <c r="B123" s="562" t="str">
        <f>IF('Total WQv Calculation'!$B$3="","",'Total WQv Calculation'!$B$3)</f>
        <v/>
      </c>
      <c r="C123" s="501"/>
      <c r="D123" s="501"/>
      <c r="E123" s="501"/>
      <c r="F123" s="501"/>
      <c r="G123" s="501"/>
      <c r="H123" s="501"/>
    </row>
    <row r="124" spans="1:8" x14ac:dyDescent="0.25">
      <c r="A124" s="838" t="s">
        <v>79</v>
      </c>
      <c r="B124" s="838"/>
      <c r="C124" s="838"/>
      <c r="D124" s="838"/>
      <c r="E124" s="838"/>
      <c r="F124" s="838"/>
      <c r="G124" s="838"/>
      <c r="H124" s="838"/>
    </row>
    <row r="125" spans="1:8" ht="46.7" customHeight="1" x14ac:dyDescent="0.25">
      <c r="A125" s="504" t="s">
        <v>493</v>
      </c>
      <c r="B125" s="505" t="s">
        <v>610</v>
      </c>
      <c r="C125" s="578" t="s">
        <v>611</v>
      </c>
      <c r="D125" s="505" t="s">
        <v>612</v>
      </c>
      <c r="E125" s="505" t="s">
        <v>7</v>
      </c>
      <c r="F125" s="505" t="s">
        <v>613</v>
      </c>
      <c r="G125" s="505" t="s">
        <v>614</v>
      </c>
      <c r="H125" s="506" t="s">
        <v>29</v>
      </c>
    </row>
    <row r="126" spans="1:8" ht="30.2" customHeight="1" x14ac:dyDescent="0.25">
      <c r="A126" s="213"/>
      <c r="B126" s="576" t="str">
        <f>IF($A126="","",(LOOKUP($A126,'Catchment Summary Table'!$A$4:$A$33,'Catchment Summary Table'!$B$4:$B$33)))</f>
        <v/>
      </c>
      <c r="C126" s="576" t="str">
        <f>IF($A126="","",(LOOKUP($A126,'Catchment Summary Table'!$A$4:$A$33,'Catchment Summary Table'!$C$4:$C$33)))</f>
        <v/>
      </c>
      <c r="D126" s="576" t="str">
        <f>IF($A126="","",(LOOKUP($A126,'Catchment Summary Table'!$A$4:$A$33,'Catchment Summary Table'!$D$4:$D$33)))</f>
        <v/>
      </c>
      <c r="E126" s="576" t="str">
        <f>IF($A126="","",(LOOKUP($A126,'Catchment Summary Table'!$A$4:$A$33,'Catchment Summary Table'!$E$4:$E$33)))</f>
        <v/>
      </c>
      <c r="F126" s="576" t="str">
        <f>IF($A126="","",(LOOKUP($A126,'Catchment Summary Table'!$A$4:$A$33,'Catchment Summary Table'!$F$4:$F$33)))</f>
        <v/>
      </c>
      <c r="G126" s="577" t="str">
        <f>IF(B126="","",IFERROR('Total WQv Calculation'!$B$4,""))</f>
        <v/>
      </c>
      <c r="H126" s="546" t="str">
        <f>IF($A126="","",(LOOKUP($A126,'Catchment Summary Table'!$A$4:$A$33,'Catchment Summary Table'!$G$4:$G$33)))</f>
        <v/>
      </c>
    </row>
    <row r="127" spans="1:8" x14ac:dyDescent="0.25">
      <c r="A127" s="695"/>
      <c r="B127" s="695"/>
      <c r="C127" s="695"/>
      <c r="D127" s="695"/>
      <c r="E127" s="695"/>
      <c r="F127" s="695"/>
      <c r="G127" s="695"/>
      <c r="H127" s="695"/>
    </row>
    <row r="128" spans="1:8" x14ac:dyDescent="0.25">
      <c r="A128" s="840" t="s">
        <v>91</v>
      </c>
      <c r="B128" s="840"/>
      <c r="C128" s="840"/>
      <c r="D128" s="840"/>
      <c r="E128" s="840"/>
      <c r="F128" s="840"/>
      <c r="G128" s="840"/>
      <c r="H128" s="840"/>
    </row>
    <row r="129" spans="1:8" x14ac:dyDescent="0.25">
      <c r="A129" s="499"/>
      <c r="G129" s="752" t="s">
        <v>30</v>
      </c>
      <c r="H129" s="752"/>
    </row>
    <row r="130" spans="1:8" ht="17.25" x14ac:dyDescent="0.25">
      <c r="A130" s="844" t="s">
        <v>92</v>
      </c>
      <c r="B130" s="844"/>
      <c r="C130" s="844"/>
      <c r="D130" s="510" t="s">
        <v>155</v>
      </c>
      <c r="E130" s="103"/>
      <c r="F130" s="516" t="s">
        <v>210</v>
      </c>
      <c r="G130" s="921"/>
      <c r="H130" s="921"/>
    </row>
    <row r="131" spans="1:8" x14ac:dyDescent="0.25">
      <c r="A131" s="844" t="s">
        <v>93</v>
      </c>
      <c r="B131" s="844"/>
      <c r="C131" s="844"/>
      <c r="D131" s="510" t="s">
        <v>156</v>
      </c>
      <c r="E131" s="509"/>
      <c r="F131" s="516" t="s">
        <v>12</v>
      </c>
      <c r="G131" s="921" t="s">
        <v>314</v>
      </c>
      <c r="H131" s="921"/>
    </row>
    <row r="132" spans="1:8" x14ac:dyDescent="0.25">
      <c r="A132" s="844" t="s">
        <v>94</v>
      </c>
      <c r="B132" s="844"/>
      <c r="C132" s="844"/>
      <c r="D132" s="510" t="s">
        <v>157</v>
      </c>
      <c r="E132" s="104"/>
      <c r="F132" s="516" t="s">
        <v>12</v>
      </c>
      <c r="G132" s="921"/>
      <c r="H132" s="921"/>
    </row>
    <row r="133" spans="1:8" x14ac:dyDescent="0.25">
      <c r="A133" s="844" t="s">
        <v>95</v>
      </c>
      <c r="B133" s="844"/>
      <c r="C133" s="844"/>
      <c r="D133" s="510" t="s">
        <v>158</v>
      </c>
      <c r="E133" s="104"/>
      <c r="F133" s="516" t="s">
        <v>12</v>
      </c>
      <c r="G133" s="921"/>
      <c r="H133" s="921"/>
    </row>
    <row r="134" spans="1:8" x14ac:dyDescent="0.25">
      <c r="A134" s="844" t="s">
        <v>96</v>
      </c>
      <c r="B134" s="844"/>
      <c r="C134" s="844"/>
      <c r="D134" s="510" t="s">
        <v>159</v>
      </c>
      <c r="E134" s="68"/>
      <c r="F134" s="516"/>
      <c r="G134" s="921" t="s">
        <v>99</v>
      </c>
      <c r="H134" s="921"/>
    </row>
    <row r="135" spans="1:8" x14ac:dyDescent="0.25">
      <c r="A135" s="844" t="s">
        <v>97</v>
      </c>
      <c r="B135" s="844"/>
      <c r="C135" s="844"/>
      <c r="D135" s="510" t="s">
        <v>160</v>
      </c>
      <c r="E135" s="68"/>
      <c r="F135" s="516"/>
      <c r="G135" s="921" t="s">
        <v>100</v>
      </c>
      <c r="H135" s="921"/>
    </row>
    <row r="136" spans="1:8" x14ac:dyDescent="0.25">
      <c r="A136" s="695"/>
      <c r="B136" s="695"/>
      <c r="C136" s="695"/>
      <c r="D136" s="695"/>
      <c r="E136" s="695"/>
      <c r="F136" s="695"/>
      <c r="G136" s="695"/>
      <c r="H136" s="695"/>
    </row>
    <row r="137" spans="1:8" x14ac:dyDescent="0.25">
      <c r="A137" s="840" t="s">
        <v>98</v>
      </c>
      <c r="B137" s="840"/>
      <c r="C137" s="840"/>
      <c r="D137" s="840"/>
      <c r="E137" s="840"/>
      <c r="F137" s="840"/>
      <c r="G137" s="840"/>
      <c r="H137" s="840"/>
    </row>
    <row r="138" spans="1:8" ht="17.25" x14ac:dyDescent="0.25">
      <c r="A138" s="723" t="s">
        <v>101</v>
      </c>
      <c r="B138" s="723"/>
      <c r="C138" s="723"/>
      <c r="D138" s="510" t="s">
        <v>161</v>
      </c>
      <c r="E138" s="514">
        <f>E130*E131*E134</f>
        <v>0</v>
      </c>
      <c r="F138" s="65" t="s">
        <v>207</v>
      </c>
      <c r="H138" s="567"/>
    </row>
    <row r="139" spans="1:8" ht="17.25" x14ac:dyDescent="0.25">
      <c r="A139" s="723" t="s">
        <v>102</v>
      </c>
      <c r="B139" s="723"/>
      <c r="C139" s="723"/>
      <c r="D139" s="510" t="s">
        <v>162</v>
      </c>
      <c r="E139" s="514">
        <f>E130*E132*E135</f>
        <v>0</v>
      </c>
      <c r="F139" s="65" t="s">
        <v>207</v>
      </c>
      <c r="H139" s="339"/>
    </row>
    <row r="140" spans="1:8" ht="17.25" x14ac:dyDescent="0.25">
      <c r="A140" s="723" t="s">
        <v>315</v>
      </c>
      <c r="B140" s="723"/>
      <c r="C140" s="723"/>
      <c r="D140" s="510"/>
      <c r="E140" s="514">
        <f>+E130*E133</f>
        <v>0</v>
      </c>
      <c r="F140" s="65" t="s">
        <v>207</v>
      </c>
      <c r="H140" s="339"/>
    </row>
    <row r="141" spans="1:8" ht="15" customHeight="1" x14ac:dyDescent="0.25">
      <c r="A141" s="723" t="s">
        <v>242</v>
      </c>
      <c r="B141" s="723"/>
      <c r="C141" s="723"/>
      <c r="D141" s="507"/>
      <c r="E141" s="514">
        <f>SUM(E138:E140)</f>
        <v>0</v>
      </c>
      <c r="F141" s="65" t="s">
        <v>207</v>
      </c>
      <c r="G141" s="621"/>
      <c r="H141" s="332"/>
    </row>
    <row r="142" spans="1:8" x14ac:dyDescent="0.25">
      <c r="A142" s="695"/>
      <c r="B142" s="695"/>
      <c r="C142" s="695"/>
      <c r="D142" s="695"/>
      <c r="E142" s="695"/>
      <c r="F142" s="695"/>
      <c r="G142" s="695"/>
      <c r="H142" s="695"/>
    </row>
    <row r="143" spans="1:8" ht="30.2" customHeight="1" x14ac:dyDescent="0.25">
      <c r="A143" s="770" t="s">
        <v>32</v>
      </c>
      <c r="B143" s="770"/>
      <c r="C143" s="770"/>
      <c r="D143" s="699"/>
      <c r="E143" s="296" t="str">
        <f>IF(E141&gt;=F126,F126,"Error")</f>
        <v>Error</v>
      </c>
      <c r="F143" s="515" t="s">
        <v>554</v>
      </c>
      <c r="G143" s="824"/>
      <c r="H143" s="824"/>
    </row>
    <row r="145" spans="1:8" x14ac:dyDescent="0.25">
      <c r="A145" s="623"/>
      <c r="B145" s="622"/>
      <c r="C145" s="622"/>
      <c r="D145" s="622"/>
      <c r="E145" s="622"/>
      <c r="F145" s="622"/>
      <c r="G145" s="622"/>
      <c r="H145" s="567"/>
    </row>
    <row r="146" spans="1:8" x14ac:dyDescent="0.25">
      <c r="A146" s="624"/>
      <c r="H146" s="339"/>
    </row>
    <row r="147" spans="1:8" x14ac:dyDescent="0.25">
      <c r="A147" s="624"/>
      <c r="H147" s="339"/>
    </row>
    <row r="148" spans="1:8" x14ac:dyDescent="0.25">
      <c r="A148" s="624"/>
      <c r="H148" s="339"/>
    </row>
    <row r="149" spans="1:8" x14ac:dyDescent="0.25">
      <c r="A149" s="624"/>
      <c r="H149" s="339"/>
    </row>
    <row r="150" spans="1:8" x14ac:dyDescent="0.25">
      <c r="A150" s="624"/>
      <c r="H150" s="339"/>
    </row>
    <row r="151" spans="1:8" x14ac:dyDescent="0.25">
      <c r="A151" s="624"/>
      <c r="H151" s="339"/>
    </row>
    <row r="152" spans="1:8" x14ac:dyDescent="0.25">
      <c r="A152" s="624"/>
      <c r="H152" s="339"/>
    </row>
    <row r="153" spans="1:8" x14ac:dyDescent="0.25">
      <c r="A153" s="624"/>
      <c r="H153" s="339"/>
    </row>
    <row r="154" spans="1:8" x14ac:dyDescent="0.25">
      <c r="A154" s="624"/>
      <c r="H154" s="339"/>
    </row>
    <row r="155" spans="1:8" x14ac:dyDescent="0.25">
      <c r="A155" s="624"/>
      <c r="H155" s="339"/>
    </row>
    <row r="156" spans="1:8" x14ac:dyDescent="0.25">
      <c r="A156" s="621"/>
      <c r="B156" s="625"/>
      <c r="C156" s="625"/>
      <c r="D156" s="625"/>
      <c r="E156" s="625"/>
      <c r="F156" s="625"/>
      <c r="G156" s="625"/>
      <c r="H156" s="332"/>
    </row>
  </sheetData>
  <sheetProtection password="C7D7" sheet="1" objects="1" scenarios="1" formatColumns="0" formatRows="0"/>
  <mergeCells count="113">
    <mergeCell ref="A4:H4"/>
    <mergeCell ref="A1:C1"/>
    <mergeCell ref="D1:F1"/>
    <mergeCell ref="G1:H1"/>
    <mergeCell ref="A8:H8"/>
    <mergeCell ref="A7:H7"/>
    <mergeCell ref="A16:H16"/>
    <mergeCell ref="A17:H17"/>
    <mergeCell ref="A10:C10"/>
    <mergeCell ref="A11:C11"/>
    <mergeCell ref="A12:C12"/>
    <mergeCell ref="A13:C13"/>
    <mergeCell ref="A14:C14"/>
    <mergeCell ref="A15:C15"/>
    <mergeCell ref="G9:H9"/>
    <mergeCell ref="G10:H10"/>
    <mergeCell ref="G11:H11"/>
    <mergeCell ref="G12:H12"/>
    <mergeCell ref="G13:H13"/>
    <mergeCell ref="A42:C42"/>
    <mergeCell ref="D42:F42"/>
    <mergeCell ref="G42:H42"/>
    <mergeCell ref="A45:H45"/>
    <mergeCell ref="G14:H14"/>
    <mergeCell ref="G15:H15"/>
    <mergeCell ref="A18:C18"/>
    <mergeCell ref="A19:C19"/>
    <mergeCell ref="A21:C21"/>
    <mergeCell ref="A20:C20"/>
    <mergeCell ref="A22:H22"/>
    <mergeCell ref="A23:D23"/>
    <mergeCell ref="G23:H23"/>
    <mergeCell ref="A52:C52"/>
    <mergeCell ref="G52:H52"/>
    <mergeCell ref="A53:C53"/>
    <mergeCell ref="G53:H53"/>
    <mergeCell ref="A54:C54"/>
    <mergeCell ref="G54:H54"/>
    <mergeCell ref="A48:H48"/>
    <mergeCell ref="A49:H49"/>
    <mergeCell ref="G50:H50"/>
    <mergeCell ref="A51:C51"/>
    <mergeCell ref="G51:H51"/>
    <mergeCell ref="A50:F50"/>
    <mergeCell ref="A58:H58"/>
    <mergeCell ref="A59:C59"/>
    <mergeCell ref="A60:C60"/>
    <mergeCell ref="A61:C61"/>
    <mergeCell ref="A62:C62"/>
    <mergeCell ref="A55:C55"/>
    <mergeCell ref="G55:H55"/>
    <mergeCell ref="A56:C56"/>
    <mergeCell ref="G56:H56"/>
    <mergeCell ref="A57:H57"/>
    <mergeCell ref="A85:H85"/>
    <mergeCell ref="A88:H88"/>
    <mergeCell ref="A89:H89"/>
    <mergeCell ref="G90:H90"/>
    <mergeCell ref="A63:H63"/>
    <mergeCell ref="A82:C82"/>
    <mergeCell ref="D82:F82"/>
    <mergeCell ref="G82:H82"/>
    <mergeCell ref="A64:D64"/>
    <mergeCell ref="G64:H64"/>
    <mergeCell ref="A94:C94"/>
    <mergeCell ref="G94:H94"/>
    <mergeCell ref="A95:C95"/>
    <mergeCell ref="G95:H95"/>
    <mergeCell ref="A96:C96"/>
    <mergeCell ref="G96:H96"/>
    <mergeCell ref="A91:C91"/>
    <mergeCell ref="G91:H91"/>
    <mergeCell ref="A92:C92"/>
    <mergeCell ref="G92:H92"/>
    <mergeCell ref="A93:C93"/>
    <mergeCell ref="G93:H93"/>
    <mergeCell ref="G135:H135"/>
    <mergeCell ref="A102:C102"/>
    <mergeCell ref="A103:H103"/>
    <mergeCell ref="A121:C121"/>
    <mergeCell ref="D121:F121"/>
    <mergeCell ref="G121:H121"/>
    <mergeCell ref="A97:H97"/>
    <mergeCell ref="A98:H98"/>
    <mergeCell ref="A99:C99"/>
    <mergeCell ref="A100:C100"/>
    <mergeCell ref="A101:C101"/>
    <mergeCell ref="A104:D104"/>
    <mergeCell ref="G104:H104"/>
    <mergeCell ref="A143:D143"/>
    <mergeCell ref="G143:H143"/>
    <mergeCell ref="A130:C130"/>
    <mergeCell ref="G130:H130"/>
    <mergeCell ref="A131:C131"/>
    <mergeCell ref="G131:H131"/>
    <mergeCell ref="A132:C132"/>
    <mergeCell ref="G132:H132"/>
    <mergeCell ref="A124:H124"/>
    <mergeCell ref="A127:H127"/>
    <mergeCell ref="A128:H128"/>
    <mergeCell ref="G129:H129"/>
    <mergeCell ref="A141:C141"/>
    <mergeCell ref="A142:H142"/>
    <mergeCell ref="A136:H136"/>
    <mergeCell ref="A137:H137"/>
    <mergeCell ref="A138:C138"/>
    <mergeCell ref="A139:C139"/>
    <mergeCell ref="A140:C140"/>
    <mergeCell ref="A133:C133"/>
    <mergeCell ref="G133:H133"/>
    <mergeCell ref="A134:C134"/>
    <mergeCell ref="G134:H134"/>
    <mergeCell ref="A135:C135"/>
  </mergeCells>
  <dataValidations count="1">
    <dataValidation type="list" showInputMessage="1" showErrorMessage="1" promptTitle="Choose Area" sqref="A126 A87 A6 A47">
      <formula1>CatchNo</formula1>
    </dataValidation>
  </dataValidations>
  <pageMargins left="0.7" right="0.7" top="1.25" bottom="0.75" header="0.3" footer="0.3"/>
  <pageSetup orientation="portrait" r:id="rId1"/>
  <headerFooter>
    <oddHeader xml:space="preserve">&amp;C&amp;20Extensive Green Roof Worksheet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155"/>
  <sheetViews>
    <sheetView view="pageLayout" zoomScaleNormal="100" workbookViewId="0">
      <selection activeCell="A7" sqref="A7"/>
    </sheetView>
  </sheetViews>
  <sheetFormatPr defaultColWidth="9.140625" defaultRowHeight="15" x14ac:dyDescent="0.25"/>
  <cols>
    <col min="1" max="1" width="12.7109375" style="529" customWidth="1"/>
    <col min="2" max="2" width="11.140625" style="529" customWidth="1"/>
    <col min="3" max="4" width="10.85546875" style="529" customWidth="1"/>
    <col min="5" max="6" width="7.5703125" style="529" customWidth="1"/>
    <col min="7" max="7" width="12.140625" style="529" customWidth="1"/>
    <col min="8" max="8" width="15.28515625" style="529" customWidth="1"/>
    <col min="9" max="9" width="21.7109375" style="529" bestFit="1" customWidth="1"/>
    <col min="10" max="16384" width="9.140625" style="529"/>
  </cols>
  <sheetData>
    <row r="1" spans="1:10" x14ac:dyDescent="0.25">
      <c r="A1" s="695" t="s">
        <v>152</v>
      </c>
      <c r="B1" s="695"/>
      <c r="C1" s="695"/>
      <c r="D1" s="695" t="s">
        <v>153</v>
      </c>
      <c r="E1" s="695"/>
      <c r="F1" s="695"/>
      <c r="G1" s="695" t="s">
        <v>154</v>
      </c>
      <c r="H1" s="695"/>
      <c r="I1" s="529" t="s">
        <v>517</v>
      </c>
      <c r="J1" s="317">
        <f>SUM(E24,E63,E102,E142)</f>
        <v>0</v>
      </c>
    </row>
    <row r="2" spans="1:10" x14ac:dyDescent="0.25">
      <c r="A2" s="695"/>
      <c r="B2" s="695"/>
      <c r="C2" s="695"/>
      <c r="D2" s="695"/>
      <c r="E2" s="695"/>
      <c r="F2" s="695"/>
      <c r="G2" s="695"/>
      <c r="H2" s="695"/>
      <c r="I2" s="529" t="s">
        <v>5</v>
      </c>
      <c r="J2" s="315">
        <f>SUM(B7,B46,B85,B125)</f>
        <v>0</v>
      </c>
    </row>
    <row r="3" spans="1:10" ht="15" customHeight="1" x14ac:dyDescent="0.25">
      <c r="A3" s="561" t="s">
        <v>600</v>
      </c>
      <c r="B3" s="562" t="str">
        <f>IF('Total WQv Calculation'!$B$3="","",'Total WQv Calculation'!$B$3)</f>
        <v/>
      </c>
      <c r="C3" s="501"/>
      <c r="D3" s="501"/>
      <c r="E3" s="501"/>
      <c r="F3" s="501"/>
      <c r="G3" s="501"/>
      <c r="H3" s="501"/>
      <c r="J3" s="315"/>
    </row>
    <row r="4" spans="1:10" x14ac:dyDescent="0.25">
      <c r="A4" s="840" t="s">
        <v>79</v>
      </c>
      <c r="B4" s="840"/>
      <c r="C4" s="840"/>
      <c r="D4" s="840"/>
      <c r="E4" s="840"/>
      <c r="F4" s="840"/>
      <c r="G4" s="840"/>
      <c r="H4" s="840"/>
      <c r="I4" s="529" t="s">
        <v>521</v>
      </c>
      <c r="J4" s="315">
        <f>SUM(C7,C46,C85,C125)</f>
        <v>0</v>
      </c>
    </row>
    <row r="5" spans="1:10" ht="45" x14ac:dyDescent="0.25">
      <c r="A5" s="496" t="s">
        <v>493</v>
      </c>
      <c r="B5" s="535" t="s">
        <v>5</v>
      </c>
      <c r="C5" s="535" t="s">
        <v>6</v>
      </c>
      <c r="D5" s="535" t="s">
        <v>70</v>
      </c>
      <c r="E5" s="535" t="s">
        <v>7</v>
      </c>
      <c r="F5" s="535" t="s">
        <v>1</v>
      </c>
      <c r="G5" s="535" t="s">
        <v>71</v>
      </c>
      <c r="H5" s="497" t="s">
        <v>29</v>
      </c>
    </row>
    <row r="6" spans="1:10" ht="17.25" x14ac:dyDescent="0.25">
      <c r="A6" s="24"/>
      <c r="B6" s="20" t="s">
        <v>76</v>
      </c>
      <c r="C6" s="20" t="s">
        <v>76</v>
      </c>
      <c r="D6" s="20" t="s">
        <v>11</v>
      </c>
      <c r="E6" s="20"/>
      <c r="F6" s="20" t="s">
        <v>205</v>
      </c>
      <c r="G6" s="20" t="s">
        <v>551</v>
      </c>
      <c r="H6" s="25"/>
    </row>
    <row r="7" spans="1:10" ht="30.2" customHeight="1" x14ac:dyDescent="0.25">
      <c r="A7" s="509"/>
      <c r="B7" s="61" t="str">
        <f>IF($A7="","",(LOOKUP($A7,'Catchment Summary Table'!$A$4:$A$33,'Catchment Summary Table'!$B$4:$B$33)))</f>
        <v/>
      </c>
      <c r="C7" s="61" t="str">
        <f>IF($A7="","",(LOOKUP($A7,'Catchment Summary Table'!$A$4:$A$33,'Catchment Summary Table'!$C$4:$C$33)))</f>
        <v/>
      </c>
      <c r="D7" s="61" t="str">
        <f>IF($A7="","",(LOOKUP($A7,'Catchment Summary Table'!$A$4:$A$33,'Catchment Summary Table'!$D$4:$D$33)))</f>
        <v/>
      </c>
      <c r="E7" s="61" t="str">
        <f>IF($A7="","",(LOOKUP($A7,'Catchment Summary Table'!$A$4:$A$33,'Catchment Summary Table'!$E$4:$E$33)))</f>
        <v/>
      </c>
      <c r="F7" s="61" t="str">
        <f>IF($A7="","",(LOOKUP($A7,'Catchment Summary Table'!$A$4:$A$33,'Catchment Summary Table'!$F$4:$F$33)))</f>
        <v/>
      </c>
      <c r="G7" s="286" t="str">
        <f>IF(B7="","",IFERROR('Total WQv Calculation'!$B$4,""))</f>
        <v/>
      </c>
      <c r="H7" s="510" t="str">
        <f>IF($A7="","",(LOOKUP($A7,'Catchment Summary Table'!$A$4:$A$33,'Catchment Summary Table'!$G$4:$G$33)))</f>
        <v/>
      </c>
    </row>
    <row r="8" spans="1:10" x14ac:dyDescent="0.25">
      <c r="A8" s="695"/>
      <c r="B8" s="695"/>
      <c r="C8" s="695"/>
      <c r="D8" s="695"/>
      <c r="E8" s="695"/>
      <c r="F8" s="695"/>
      <c r="G8" s="695"/>
      <c r="H8" s="695"/>
    </row>
    <row r="9" spans="1:10" x14ac:dyDescent="0.25">
      <c r="A9" s="840" t="s">
        <v>91</v>
      </c>
      <c r="B9" s="840"/>
      <c r="C9" s="840"/>
      <c r="D9" s="840"/>
      <c r="E9" s="840"/>
      <c r="F9" s="840"/>
      <c r="G9" s="840"/>
      <c r="H9" s="840"/>
    </row>
    <row r="10" spans="1:10" x14ac:dyDescent="0.25">
      <c r="A10" s="499"/>
      <c r="G10" s="752" t="s">
        <v>30</v>
      </c>
      <c r="H10" s="752"/>
    </row>
    <row r="11" spans="1:10" ht="15" customHeight="1" x14ac:dyDescent="0.25">
      <c r="A11" s="844" t="s">
        <v>92</v>
      </c>
      <c r="B11" s="844"/>
      <c r="C11" s="844"/>
      <c r="D11" s="510" t="s">
        <v>155</v>
      </c>
      <c r="E11" s="103"/>
      <c r="F11" s="516" t="s">
        <v>210</v>
      </c>
      <c r="G11" s="921"/>
      <c r="H11" s="921"/>
    </row>
    <row r="12" spans="1:10" ht="15" customHeight="1" x14ac:dyDescent="0.25">
      <c r="A12" s="844" t="s">
        <v>93</v>
      </c>
      <c r="B12" s="844"/>
      <c r="C12" s="844"/>
      <c r="D12" s="510" t="s">
        <v>156</v>
      </c>
      <c r="E12" s="509"/>
      <c r="F12" s="516" t="s">
        <v>12</v>
      </c>
      <c r="G12" s="921" t="s">
        <v>314</v>
      </c>
      <c r="H12" s="921"/>
    </row>
    <row r="13" spans="1:10" ht="15" customHeight="1" x14ac:dyDescent="0.25">
      <c r="A13" s="844" t="s">
        <v>94</v>
      </c>
      <c r="B13" s="844"/>
      <c r="C13" s="844"/>
      <c r="D13" s="510" t="s">
        <v>157</v>
      </c>
      <c r="E13" s="104"/>
      <c r="F13" s="516" t="s">
        <v>12</v>
      </c>
      <c r="G13" s="921"/>
      <c r="H13" s="921"/>
    </row>
    <row r="14" spans="1:10" ht="15" customHeight="1" x14ac:dyDescent="0.25">
      <c r="A14" s="844" t="s">
        <v>95</v>
      </c>
      <c r="B14" s="844"/>
      <c r="C14" s="844"/>
      <c r="D14" s="510" t="s">
        <v>158</v>
      </c>
      <c r="E14" s="104"/>
      <c r="F14" s="516" t="s">
        <v>12</v>
      </c>
      <c r="G14" s="921"/>
      <c r="H14" s="921"/>
    </row>
    <row r="15" spans="1:10" ht="15" customHeight="1" x14ac:dyDescent="0.25">
      <c r="A15" s="844" t="s">
        <v>96</v>
      </c>
      <c r="B15" s="844"/>
      <c r="C15" s="844"/>
      <c r="D15" s="510" t="s">
        <v>159</v>
      </c>
      <c r="E15" s="68"/>
      <c r="F15" s="516"/>
      <c r="G15" s="921" t="s">
        <v>99</v>
      </c>
      <c r="H15" s="921"/>
    </row>
    <row r="16" spans="1:10" ht="15" customHeight="1" x14ac:dyDescent="0.25">
      <c r="A16" s="844" t="s">
        <v>97</v>
      </c>
      <c r="B16" s="844"/>
      <c r="C16" s="844"/>
      <c r="D16" s="510" t="s">
        <v>160</v>
      </c>
      <c r="E16" s="68"/>
      <c r="F16" s="516"/>
      <c r="G16" s="921" t="s">
        <v>100</v>
      </c>
      <c r="H16" s="921"/>
    </row>
    <row r="17" spans="1:8" x14ac:dyDescent="0.25">
      <c r="A17" s="695"/>
      <c r="B17" s="695"/>
      <c r="C17" s="695"/>
      <c r="D17" s="695"/>
      <c r="E17" s="695"/>
      <c r="F17" s="695"/>
      <c r="G17" s="695"/>
      <c r="H17" s="695"/>
    </row>
    <row r="18" spans="1:8" x14ac:dyDescent="0.25">
      <c r="A18" s="840" t="s">
        <v>98</v>
      </c>
      <c r="B18" s="840"/>
      <c r="C18" s="840"/>
      <c r="D18" s="840"/>
      <c r="E18" s="840"/>
      <c r="F18" s="840"/>
      <c r="G18" s="840"/>
      <c r="H18" s="840"/>
    </row>
    <row r="19" spans="1:8" ht="17.25" x14ac:dyDescent="0.25">
      <c r="A19" s="723" t="s">
        <v>101</v>
      </c>
      <c r="B19" s="723"/>
      <c r="C19" s="723"/>
      <c r="D19" s="510" t="s">
        <v>161</v>
      </c>
      <c r="E19" s="514">
        <f>E11*E12*E15</f>
        <v>0</v>
      </c>
      <c r="F19" s="65" t="s">
        <v>207</v>
      </c>
      <c r="H19" s="567"/>
    </row>
    <row r="20" spans="1:8" ht="17.25" x14ac:dyDescent="0.25">
      <c r="A20" s="723" t="s">
        <v>102</v>
      </c>
      <c r="B20" s="723"/>
      <c r="C20" s="723"/>
      <c r="D20" s="510" t="s">
        <v>162</v>
      </c>
      <c r="E20" s="514">
        <f>E11*E13*E16</f>
        <v>0</v>
      </c>
      <c r="F20" s="65" t="s">
        <v>207</v>
      </c>
      <c r="H20" s="339"/>
    </row>
    <row r="21" spans="1:8" ht="17.25" x14ac:dyDescent="0.25">
      <c r="A21" s="723" t="s">
        <v>315</v>
      </c>
      <c r="B21" s="723"/>
      <c r="C21" s="723"/>
      <c r="D21" s="510"/>
      <c r="E21" s="514">
        <f>+E11*E14</f>
        <v>0</v>
      </c>
      <c r="F21" s="65" t="s">
        <v>207</v>
      </c>
      <c r="H21" s="339"/>
    </row>
    <row r="22" spans="1:8" ht="15" customHeight="1" x14ac:dyDescent="0.25">
      <c r="A22" s="723" t="s">
        <v>242</v>
      </c>
      <c r="B22" s="723"/>
      <c r="C22" s="723"/>
      <c r="D22" s="507"/>
      <c r="E22" s="514">
        <f>SUM(E19:E21)</f>
        <v>0</v>
      </c>
      <c r="F22" s="65" t="s">
        <v>207</v>
      </c>
      <c r="G22" s="621"/>
      <c r="H22" s="332"/>
    </row>
    <row r="23" spans="1:8" x14ac:dyDescent="0.25">
      <c r="A23" s="695"/>
      <c r="B23" s="695"/>
      <c r="C23" s="695"/>
      <c r="D23" s="695"/>
      <c r="E23" s="695"/>
      <c r="F23" s="695"/>
      <c r="G23" s="695"/>
      <c r="H23" s="695"/>
    </row>
    <row r="24" spans="1:8" ht="30.2" customHeight="1" x14ac:dyDescent="0.25">
      <c r="A24" s="927" t="s">
        <v>32</v>
      </c>
      <c r="B24" s="883"/>
      <c r="C24" s="883"/>
      <c r="D24" s="710"/>
      <c r="E24" s="296" t="str">
        <f>IF(E22&gt;=F7,F7,"Error")</f>
        <v>Error</v>
      </c>
      <c r="F24" s="515" t="s">
        <v>554</v>
      </c>
      <c r="G24" s="927"/>
      <c r="H24" s="884"/>
    </row>
    <row r="26" spans="1:8" x14ac:dyDescent="0.25">
      <c r="A26" s="623"/>
      <c r="B26" s="622"/>
      <c r="C26" s="622"/>
      <c r="D26" s="622"/>
      <c r="E26" s="622"/>
      <c r="F26" s="622"/>
      <c r="G26" s="622"/>
      <c r="H26" s="567"/>
    </row>
    <row r="27" spans="1:8" x14ac:dyDescent="0.25">
      <c r="A27" s="624"/>
      <c r="H27" s="339"/>
    </row>
    <row r="28" spans="1:8" x14ac:dyDescent="0.25">
      <c r="A28" s="624"/>
      <c r="H28" s="339"/>
    </row>
    <row r="29" spans="1:8" x14ac:dyDescent="0.25">
      <c r="A29" s="624"/>
      <c r="H29" s="339"/>
    </row>
    <row r="30" spans="1:8" x14ac:dyDescent="0.25">
      <c r="A30" s="624"/>
      <c r="H30" s="339"/>
    </row>
    <row r="31" spans="1:8" x14ac:dyDescent="0.25">
      <c r="A31" s="624"/>
      <c r="H31" s="339"/>
    </row>
    <row r="32" spans="1:8" x14ac:dyDescent="0.25">
      <c r="A32" s="624"/>
      <c r="H32" s="339"/>
    </row>
    <row r="33" spans="1:8" x14ac:dyDescent="0.25">
      <c r="A33" s="624"/>
      <c r="H33" s="339"/>
    </row>
    <row r="34" spans="1:8" x14ac:dyDescent="0.25">
      <c r="A34" s="624"/>
      <c r="H34" s="339"/>
    </row>
    <row r="35" spans="1:8" x14ac:dyDescent="0.25">
      <c r="A35" s="624"/>
      <c r="H35" s="339"/>
    </row>
    <row r="36" spans="1:8" x14ac:dyDescent="0.25">
      <c r="A36" s="624"/>
      <c r="H36" s="339"/>
    </row>
    <row r="37" spans="1:8" x14ac:dyDescent="0.25">
      <c r="A37" s="621"/>
      <c r="B37" s="625"/>
      <c r="C37" s="625"/>
      <c r="D37" s="625"/>
      <c r="E37" s="625"/>
      <c r="F37" s="625"/>
      <c r="G37" s="625"/>
      <c r="H37" s="332"/>
    </row>
    <row r="40" spans="1:8" x14ac:dyDescent="0.25">
      <c r="A40" s="695" t="s">
        <v>152</v>
      </c>
      <c r="B40" s="695"/>
      <c r="C40" s="695"/>
      <c r="D40" s="695" t="s">
        <v>153</v>
      </c>
      <c r="E40" s="695"/>
      <c r="F40" s="695"/>
      <c r="G40" s="695" t="s">
        <v>154</v>
      </c>
      <c r="H40" s="695"/>
    </row>
    <row r="41" spans="1:8" x14ac:dyDescent="0.25">
      <c r="A41" s="501"/>
      <c r="B41" s="501"/>
      <c r="C41" s="501"/>
      <c r="D41" s="501"/>
      <c r="E41" s="501"/>
      <c r="F41" s="501"/>
      <c r="G41" s="501"/>
      <c r="H41" s="501"/>
    </row>
    <row r="42" spans="1:8" x14ac:dyDescent="0.25">
      <c r="A42" s="561" t="s">
        <v>600</v>
      </c>
      <c r="B42" s="562" t="str">
        <f>IF('Total WQv Calculation'!$B$3="","",'Total WQv Calculation'!$B$3)</f>
        <v/>
      </c>
      <c r="C42" s="501"/>
      <c r="D42" s="501"/>
      <c r="E42" s="501"/>
      <c r="F42" s="501"/>
      <c r="G42" s="501"/>
      <c r="H42" s="501"/>
    </row>
    <row r="43" spans="1:8" x14ac:dyDescent="0.25">
      <c r="A43" s="840" t="s">
        <v>79</v>
      </c>
      <c r="B43" s="840"/>
      <c r="C43" s="840"/>
      <c r="D43" s="840"/>
      <c r="E43" s="840"/>
      <c r="F43" s="840"/>
      <c r="G43" s="840"/>
      <c r="H43" s="840"/>
    </row>
    <row r="44" spans="1:8" ht="45" x14ac:dyDescent="0.25">
      <c r="A44" s="496" t="s">
        <v>493</v>
      </c>
      <c r="B44" s="535" t="s">
        <v>5</v>
      </c>
      <c r="C44" s="535" t="s">
        <v>6</v>
      </c>
      <c r="D44" s="535" t="s">
        <v>70</v>
      </c>
      <c r="E44" s="535" t="s">
        <v>7</v>
      </c>
      <c r="F44" s="535" t="s">
        <v>1</v>
      </c>
      <c r="G44" s="535" t="s">
        <v>71</v>
      </c>
      <c r="H44" s="497" t="s">
        <v>29</v>
      </c>
    </row>
    <row r="45" spans="1:8" ht="17.25" x14ac:dyDescent="0.25">
      <c r="A45" s="24"/>
      <c r="B45" s="20" t="s">
        <v>76</v>
      </c>
      <c r="C45" s="20" t="s">
        <v>76</v>
      </c>
      <c r="D45" s="20" t="s">
        <v>11</v>
      </c>
      <c r="E45" s="20"/>
      <c r="F45" s="20" t="s">
        <v>205</v>
      </c>
      <c r="G45" s="20" t="s">
        <v>551</v>
      </c>
      <c r="H45" s="25"/>
    </row>
    <row r="46" spans="1:8" ht="30.2" customHeight="1" x14ac:dyDescent="0.25">
      <c r="A46" s="509"/>
      <c r="B46" s="61" t="str">
        <f>IF($A46="","",(LOOKUP($A46,'Catchment Summary Table'!$A$4:$A$33,'Catchment Summary Table'!$B$4:$B$33)))</f>
        <v/>
      </c>
      <c r="C46" s="61" t="str">
        <f>IF($A46="","",(LOOKUP($A46,'Catchment Summary Table'!$A$4:$A$33,'Catchment Summary Table'!$C$4:$C$33)))</f>
        <v/>
      </c>
      <c r="D46" s="61" t="str">
        <f>IF($A46="","",(LOOKUP($A46,'Catchment Summary Table'!$A$4:$A$33,'Catchment Summary Table'!$D$4:$D$33)))</f>
        <v/>
      </c>
      <c r="E46" s="61" t="str">
        <f>IF($A46="","",(LOOKUP($A46,'Catchment Summary Table'!$A$4:$A$33,'Catchment Summary Table'!$E$4:$E$33)))</f>
        <v/>
      </c>
      <c r="F46" s="61" t="str">
        <f>IF($A46="","",(LOOKUP($A46,'Catchment Summary Table'!$A$4:$A$33,'Catchment Summary Table'!$F$4:$F$33)))</f>
        <v/>
      </c>
      <c r="G46" s="286" t="str">
        <f>IF(B46="","",IFERROR('Total WQv Calculation'!$B$4,""))</f>
        <v/>
      </c>
      <c r="H46" s="510" t="str">
        <f>IF($A46="","",(LOOKUP($A46,'Catchment Summary Table'!$A$4:$A$33,'Catchment Summary Table'!$G$4:$G$33)))</f>
        <v/>
      </c>
    </row>
    <row r="47" spans="1:8" x14ac:dyDescent="0.25">
      <c r="A47" s="695"/>
      <c r="B47" s="695"/>
      <c r="C47" s="695"/>
      <c r="D47" s="695"/>
      <c r="E47" s="695"/>
      <c r="F47" s="695"/>
      <c r="G47" s="695"/>
      <c r="H47" s="695"/>
    </row>
    <row r="48" spans="1:8" x14ac:dyDescent="0.25">
      <c r="A48" s="840" t="s">
        <v>91</v>
      </c>
      <c r="B48" s="840"/>
      <c r="C48" s="840"/>
      <c r="D48" s="840"/>
      <c r="E48" s="840"/>
      <c r="F48" s="840"/>
      <c r="G48" s="840"/>
      <c r="H48" s="840"/>
    </row>
    <row r="49" spans="1:8" ht="15" customHeight="1" x14ac:dyDescent="0.25">
      <c r="A49" s="499"/>
      <c r="G49" s="752" t="s">
        <v>30</v>
      </c>
      <c r="H49" s="752"/>
    </row>
    <row r="50" spans="1:8" ht="15" customHeight="1" x14ac:dyDescent="0.25">
      <c r="A50" s="844" t="s">
        <v>92</v>
      </c>
      <c r="B50" s="844"/>
      <c r="C50" s="844"/>
      <c r="D50" s="510" t="s">
        <v>155</v>
      </c>
      <c r="E50" s="626"/>
      <c r="F50" s="516" t="s">
        <v>210</v>
      </c>
      <c r="G50" s="921"/>
      <c r="H50" s="921"/>
    </row>
    <row r="51" spans="1:8" ht="15" customHeight="1" x14ac:dyDescent="0.25">
      <c r="A51" s="844" t="s">
        <v>93</v>
      </c>
      <c r="B51" s="844"/>
      <c r="C51" s="844"/>
      <c r="D51" s="510" t="s">
        <v>156</v>
      </c>
      <c r="E51" s="627"/>
      <c r="F51" s="516" t="s">
        <v>12</v>
      </c>
      <c r="G51" s="921" t="s">
        <v>314</v>
      </c>
      <c r="H51" s="921"/>
    </row>
    <row r="52" spans="1:8" ht="15" customHeight="1" x14ac:dyDescent="0.25">
      <c r="A52" s="844" t="s">
        <v>94</v>
      </c>
      <c r="B52" s="844"/>
      <c r="C52" s="844"/>
      <c r="D52" s="510" t="s">
        <v>157</v>
      </c>
      <c r="E52" s="628"/>
      <c r="F52" s="516" t="s">
        <v>12</v>
      </c>
      <c r="G52" s="921"/>
      <c r="H52" s="921"/>
    </row>
    <row r="53" spans="1:8" ht="15" customHeight="1" x14ac:dyDescent="0.25">
      <c r="A53" s="844" t="s">
        <v>95</v>
      </c>
      <c r="B53" s="844"/>
      <c r="C53" s="844"/>
      <c r="D53" s="510" t="s">
        <v>158</v>
      </c>
      <c r="E53" s="628"/>
      <c r="F53" s="516" t="s">
        <v>12</v>
      </c>
      <c r="G53" s="921"/>
      <c r="H53" s="921"/>
    </row>
    <row r="54" spans="1:8" ht="15" customHeight="1" x14ac:dyDescent="0.25">
      <c r="A54" s="844" t="s">
        <v>96</v>
      </c>
      <c r="B54" s="844"/>
      <c r="C54" s="844"/>
      <c r="D54" s="510" t="s">
        <v>159</v>
      </c>
      <c r="E54" s="629"/>
      <c r="F54" s="516"/>
      <c r="G54" s="921" t="s">
        <v>99</v>
      </c>
      <c r="H54" s="921"/>
    </row>
    <row r="55" spans="1:8" ht="15" customHeight="1" x14ac:dyDescent="0.25">
      <c r="A55" s="844" t="s">
        <v>97</v>
      </c>
      <c r="B55" s="844"/>
      <c r="C55" s="844"/>
      <c r="D55" s="510" t="s">
        <v>160</v>
      </c>
      <c r="E55" s="629"/>
      <c r="F55" s="516"/>
      <c r="G55" s="921" t="s">
        <v>100</v>
      </c>
      <c r="H55" s="921"/>
    </row>
    <row r="56" spans="1:8" x14ac:dyDescent="0.25">
      <c r="A56" s="695"/>
      <c r="B56" s="695"/>
      <c r="C56" s="695"/>
      <c r="D56" s="695"/>
      <c r="E56" s="695"/>
      <c r="F56" s="695"/>
      <c r="G56" s="695"/>
      <c r="H56" s="695"/>
    </row>
    <row r="57" spans="1:8" x14ac:dyDescent="0.25">
      <c r="A57" s="840" t="s">
        <v>98</v>
      </c>
      <c r="B57" s="840"/>
      <c r="C57" s="840"/>
      <c r="D57" s="840"/>
      <c r="E57" s="840"/>
      <c r="F57" s="840"/>
      <c r="G57" s="840"/>
      <c r="H57" s="840"/>
    </row>
    <row r="58" spans="1:8" ht="17.25" x14ac:dyDescent="0.25">
      <c r="A58" s="723" t="s">
        <v>101</v>
      </c>
      <c r="B58" s="723"/>
      <c r="C58" s="723"/>
      <c r="D58" s="510" t="s">
        <v>161</v>
      </c>
      <c r="E58" s="514">
        <f>E50*E51*E54</f>
        <v>0</v>
      </c>
      <c r="F58" s="65" t="s">
        <v>207</v>
      </c>
      <c r="H58" s="567"/>
    </row>
    <row r="59" spans="1:8" ht="17.25" x14ac:dyDescent="0.25">
      <c r="A59" s="723" t="s">
        <v>102</v>
      </c>
      <c r="B59" s="723"/>
      <c r="C59" s="723"/>
      <c r="D59" s="510" t="s">
        <v>162</v>
      </c>
      <c r="E59" s="514">
        <f>E50*E52*E55</f>
        <v>0</v>
      </c>
      <c r="F59" s="65" t="s">
        <v>207</v>
      </c>
      <c r="H59" s="339"/>
    </row>
    <row r="60" spans="1:8" ht="17.25" x14ac:dyDescent="0.25">
      <c r="A60" s="723" t="s">
        <v>315</v>
      </c>
      <c r="B60" s="723"/>
      <c r="C60" s="723"/>
      <c r="D60" s="510"/>
      <c r="E60" s="514">
        <f>+E50*E53</f>
        <v>0</v>
      </c>
      <c r="F60" s="65" t="s">
        <v>207</v>
      </c>
      <c r="H60" s="339"/>
    </row>
    <row r="61" spans="1:8" ht="15" customHeight="1" x14ac:dyDescent="0.25">
      <c r="A61" s="723" t="s">
        <v>242</v>
      </c>
      <c r="B61" s="723"/>
      <c r="C61" s="723"/>
      <c r="D61" s="507"/>
      <c r="E61" s="514">
        <f>SUM(E58:E60)</f>
        <v>0</v>
      </c>
      <c r="F61" s="65" t="s">
        <v>207</v>
      </c>
      <c r="G61" s="621"/>
      <c r="H61" s="332"/>
    </row>
    <row r="62" spans="1:8" x14ac:dyDescent="0.25">
      <c r="A62" s="695"/>
      <c r="B62" s="695"/>
      <c r="C62" s="695"/>
      <c r="D62" s="695"/>
      <c r="E62" s="695"/>
      <c r="F62" s="695"/>
      <c r="G62" s="695"/>
      <c r="H62" s="695"/>
    </row>
    <row r="63" spans="1:8" s="206" customFormat="1" ht="30.2" customHeight="1" x14ac:dyDescent="0.25">
      <c r="A63" s="927" t="s">
        <v>32</v>
      </c>
      <c r="B63" s="883"/>
      <c r="C63" s="883"/>
      <c r="D63" s="710"/>
      <c r="E63" s="296" t="str">
        <f>IF(E61&gt;=F46,F46,"Error")</f>
        <v>Error</v>
      </c>
      <c r="F63" s="538" t="s">
        <v>249</v>
      </c>
      <c r="G63" s="927"/>
      <c r="H63" s="884"/>
    </row>
    <row r="65" spans="1:8" x14ac:dyDescent="0.25">
      <c r="A65" s="623"/>
      <c r="B65" s="622"/>
      <c r="C65" s="622"/>
      <c r="D65" s="622"/>
      <c r="E65" s="622"/>
      <c r="F65" s="622"/>
      <c r="G65" s="622"/>
      <c r="H65" s="567"/>
    </row>
    <row r="66" spans="1:8" x14ac:dyDescent="0.25">
      <c r="A66" s="624"/>
      <c r="H66" s="339"/>
    </row>
    <row r="67" spans="1:8" x14ac:dyDescent="0.25">
      <c r="A67" s="624"/>
      <c r="H67" s="339"/>
    </row>
    <row r="68" spans="1:8" x14ac:dyDescent="0.25">
      <c r="A68" s="624"/>
      <c r="H68" s="339"/>
    </row>
    <row r="69" spans="1:8" x14ac:dyDescent="0.25">
      <c r="A69" s="624"/>
      <c r="H69" s="339"/>
    </row>
    <row r="70" spans="1:8" x14ac:dyDescent="0.25">
      <c r="A70" s="624"/>
      <c r="H70" s="339"/>
    </row>
    <row r="71" spans="1:8" x14ac:dyDescent="0.25">
      <c r="A71" s="624"/>
      <c r="H71" s="339"/>
    </row>
    <row r="72" spans="1:8" x14ac:dyDescent="0.25">
      <c r="A72" s="624"/>
      <c r="H72" s="339"/>
    </row>
    <row r="73" spans="1:8" x14ac:dyDescent="0.25">
      <c r="A73" s="624"/>
      <c r="H73" s="339"/>
    </row>
    <row r="74" spans="1:8" x14ac:dyDescent="0.25">
      <c r="A74" s="624"/>
      <c r="H74" s="339"/>
    </row>
    <row r="75" spans="1:8" x14ac:dyDescent="0.25">
      <c r="A75" s="624"/>
      <c r="H75" s="339"/>
    </row>
    <row r="76" spans="1:8" x14ac:dyDescent="0.25">
      <c r="A76" s="621"/>
      <c r="B76" s="625"/>
      <c r="C76" s="625"/>
      <c r="D76" s="625"/>
      <c r="E76" s="625"/>
      <c r="F76" s="625"/>
      <c r="G76" s="625"/>
      <c r="H76" s="332"/>
    </row>
    <row r="79" spans="1:8" x14ac:dyDescent="0.25">
      <c r="A79" s="695" t="s">
        <v>152</v>
      </c>
      <c r="B79" s="695"/>
      <c r="C79" s="695"/>
      <c r="D79" s="695" t="s">
        <v>153</v>
      </c>
      <c r="E79" s="695"/>
      <c r="F79" s="695"/>
      <c r="G79" s="695" t="s">
        <v>154</v>
      </c>
      <c r="H79" s="695"/>
    </row>
    <row r="80" spans="1:8" x14ac:dyDescent="0.25">
      <c r="A80" s="501"/>
      <c r="B80" s="501"/>
      <c r="C80" s="501"/>
      <c r="D80" s="501"/>
      <c r="E80" s="501"/>
      <c r="F80" s="501"/>
      <c r="G80" s="501"/>
      <c r="H80" s="501"/>
    </row>
    <row r="81" spans="1:8" x14ac:dyDescent="0.25">
      <c r="A81" s="561" t="s">
        <v>600</v>
      </c>
      <c r="B81" s="562" t="str">
        <f>IF('Total WQv Calculation'!$B$3="","",'Total WQv Calculation'!$B$3)</f>
        <v/>
      </c>
      <c r="C81" s="501"/>
      <c r="D81" s="501"/>
      <c r="E81" s="501"/>
      <c r="F81" s="501"/>
      <c r="G81" s="501"/>
      <c r="H81" s="501"/>
    </row>
    <row r="82" spans="1:8" x14ac:dyDescent="0.25">
      <c r="A82" s="840" t="s">
        <v>79</v>
      </c>
      <c r="B82" s="840"/>
      <c r="C82" s="840"/>
      <c r="D82" s="840"/>
      <c r="E82" s="840"/>
      <c r="F82" s="840"/>
      <c r="G82" s="840"/>
      <c r="H82" s="840"/>
    </row>
    <row r="83" spans="1:8" ht="45" x14ac:dyDescent="0.25">
      <c r="A83" s="496" t="s">
        <v>493</v>
      </c>
      <c r="B83" s="535" t="s">
        <v>5</v>
      </c>
      <c r="C83" s="535" t="s">
        <v>6</v>
      </c>
      <c r="D83" s="535" t="s">
        <v>70</v>
      </c>
      <c r="E83" s="535" t="s">
        <v>7</v>
      </c>
      <c r="F83" s="535" t="s">
        <v>1</v>
      </c>
      <c r="G83" s="535" t="s">
        <v>71</v>
      </c>
      <c r="H83" s="497" t="s">
        <v>29</v>
      </c>
    </row>
    <row r="84" spans="1:8" ht="17.25" x14ac:dyDescent="0.25">
      <c r="A84" s="200"/>
      <c r="B84" s="20" t="s">
        <v>76</v>
      </c>
      <c r="C84" s="20" t="s">
        <v>76</v>
      </c>
      <c r="D84" s="20" t="s">
        <v>11</v>
      </c>
      <c r="E84" s="20"/>
      <c r="F84" s="20" t="s">
        <v>205</v>
      </c>
      <c r="G84" s="20" t="s">
        <v>89</v>
      </c>
      <c r="H84" s="201"/>
    </row>
    <row r="85" spans="1:8" ht="30.2" customHeight="1" x14ac:dyDescent="0.25">
      <c r="A85" s="509"/>
      <c r="B85" s="61" t="str">
        <f>IF($A85="","",(LOOKUP($A85,'Catchment Summary Table'!$A$4:$A$33,'Catchment Summary Table'!$B$4:$B$33)))</f>
        <v/>
      </c>
      <c r="C85" s="61" t="str">
        <f>IF($A85="","",(LOOKUP($A85,'Catchment Summary Table'!$A$4:$A$33,'Catchment Summary Table'!$C$4:$C$33)))</f>
        <v/>
      </c>
      <c r="D85" s="61" t="str">
        <f>IF($A85="","",(LOOKUP($A85,'Catchment Summary Table'!$A$4:$A$33,'Catchment Summary Table'!$D$4:$D$33)))</f>
        <v/>
      </c>
      <c r="E85" s="61" t="str">
        <f>IF($A85="","",(LOOKUP($A85,'Catchment Summary Table'!$A$4:$A$33,'Catchment Summary Table'!$E$4:$E$33)))</f>
        <v/>
      </c>
      <c r="F85" s="61" t="str">
        <f>IF($A85="","",(LOOKUP($A85,'Catchment Summary Table'!$A$4:$A$33,'Catchment Summary Table'!$F$4:$F$33)))</f>
        <v/>
      </c>
      <c r="G85" s="286" t="str">
        <f>IF(B85="","",IFERROR('Total WQv Calculation'!$B$4,""))</f>
        <v/>
      </c>
      <c r="H85" s="510" t="str">
        <f>IF($A85="","",(LOOKUP($A85,'Catchment Summary Table'!$A$4:$A$33,'Catchment Summary Table'!$G$4:$G$33)))</f>
        <v/>
      </c>
    </row>
    <row r="86" spans="1:8" x14ac:dyDescent="0.25">
      <c r="A86" s="695"/>
      <c r="B86" s="695"/>
      <c r="C86" s="695"/>
      <c r="D86" s="695"/>
      <c r="E86" s="695"/>
      <c r="F86" s="695"/>
      <c r="G86" s="695"/>
      <c r="H86" s="695"/>
    </row>
    <row r="87" spans="1:8" ht="15" customHeight="1" x14ac:dyDescent="0.25">
      <c r="A87" s="840" t="s">
        <v>91</v>
      </c>
      <c r="B87" s="840"/>
      <c r="C87" s="840"/>
      <c r="D87" s="840"/>
      <c r="E87" s="840"/>
      <c r="F87" s="840"/>
      <c r="G87" s="840"/>
      <c r="H87" s="840"/>
    </row>
    <row r="88" spans="1:8" ht="15" customHeight="1" x14ac:dyDescent="0.25">
      <c r="A88" s="499"/>
      <c r="G88" s="752" t="s">
        <v>30</v>
      </c>
      <c r="H88" s="752"/>
    </row>
    <row r="89" spans="1:8" ht="15" customHeight="1" x14ac:dyDescent="0.25">
      <c r="A89" s="844" t="s">
        <v>92</v>
      </c>
      <c r="B89" s="844"/>
      <c r="C89" s="844"/>
      <c r="D89" s="510" t="s">
        <v>155</v>
      </c>
      <c r="E89" s="626"/>
      <c r="F89" s="516" t="s">
        <v>210</v>
      </c>
      <c r="G89" s="921"/>
      <c r="H89" s="921"/>
    </row>
    <row r="90" spans="1:8" ht="15" customHeight="1" x14ac:dyDescent="0.25">
      <c r="A90" s="844" t="s">
        <v>93</v>
      </c>
      <c r="B90" s="844"/>
      <c r="C90" s="844"/>
      <c r="D90" s="510" t="s">
        <v>156</v>
      </c>
      <c r="E90" s="627"/>
      <c r="F90" s="516" t="s">
        <v>12</v>
      </c>
      <c r="G90" s="921" t="s">
        <v>314</v>
      </c>
      <c r="H90" s="921"/>
    </row>
    <row r="91" spans="1:8" ht="15" customHeight="1" x14ac:dyDescent="0.25">
      <c r="A91" s="844" t="s">
        <v>94</v>
      </c>
      <c r="B91" s="844"/>
      <c r="C91" s="844"/>
      <c r="D91" s="510" t="s">
        <v>157</v>
      </c>
      <c r="E91" s="628"/>
      <c r="F91" s="516" t="s">
        <v>12</v>
      </c>
      <c r="G91" s="921"/>
      <c r="H91" s="921"/>
    </row>
    <row r="92" spans="1:8" ht="15" customHeight="1" x14ac:dyDescent="0.25">
      <c r="A92" s="844" t="s">
        <v>95</v>
      </c>
      <c r="B92" s="844"/>
      <c r="C92" s="844"/>
      <c r="D92" s="510" t="s">
        <v>158</v>
      </c>
      <c r="E92" s="628"/>
      <c r="F92" s="516" t="s">
        <v>12</v>
      </c>
      <c r="G92" s="921"/>
      <c r="H92" s="921"/>
    </row>
    <row r="93" spans="1:8" ht="15" customHeight="1" x14ac:dyDescent="0.25">
      <c r="A93" s="844" t="s">
        <v>96</v>
      </c>
      <c r="B93" s="844"/>
      <c r="C93" s="844"/>
      <c r="D93" s="510" t="s">
        <v>159</v>
      </c>
      <c r="E93" s="629"/>
      <c r="F93" s="516"/>
      <c r="G93" s="921" t="s">
        <v>99</v>
      </c>
      <c r="H93" s="921"/>
    </row>
    <row r="94" spans="1:8" ht="15" customHeight="1" x14ac:dyDescent="0.25">
      <c r="A94" s="844" t="s">
        <v>97</v>
      </c>
      <c r="B94" s="844"/>
      <c r="C94" s="844"/>
      <c r="D94" s="510" t="s">
        <v>160</v>
      </c>
      <c r="E94" s="629"/>
      <c r="F94" s="516"/>
      <c r="G94" s="921" t="s">
        <v>100</v>
      </c>
      <c r="H94" s="921"/>
    </row>
    <row r="95" spans="1:8" x14ac:dyDescent="0.25">
      <c r="A95" s="695"/>
      <c r="B95" s="695"/>
      <c r="C95" s="695"/>
      <c r="D95" s="695"/>
      <c r="E95" s="695"/>
      <c r="F95" s="695"/>
      <c r="G95" s="695"/>
      <c r="H95" s="695"/>
    </row>
    <row r="96" spans="1:8" x14ac:dyDescent="0.25">
      <c r="A96" s="840" t="s">
        <v>98</v>
      </c>
      <c r="B96" s="840"/>
      <c r="C96" s="840"/>
      <c r="D96" s="840"/>
      <c r="E96" s="840"/>
      <c r="F96" s="840"/>
      <c r="G96" s="840"/>
      <c r="H96" s="840"/>
    </row>
    <row r="97" spans="1:8" ht="15" customHeight="1" x14ac:dyDescent="0.25">
      <c r="A97" s="723" t="s">
        <v>101</v>
      </c>
      <c r="B97" s="723"/>
      <c r="C97" s="723"/>
      <c r="D97" s="510" t="s">
        <v>161</v>
      </c>
      <c r="E97" s="514">
        <f>E89*E90*E93</f>
        <v>0</v>
      </c>
      <c r="F97" s="65" t="s">
        <v>207</v>
      </c>
      <c r="H97" s="567"/>
    </row>
    <row r="98" spans="1:8" ht="15" customHeight="1" x14ac:dyDescent="0.25">
      <c r="A98" s="723" t="s">
        <v>102</v>
      </c>
      <c r="B98" s="723"/>
      <c r="C98" s="723"/>
      <c r="D98" s="510" t="s">
        <v>162</v>
      </c>
      <c r="E98" s="514">
        <f>E89*E91*E94</f>
        <v>0</v>
      </c>
      <c r="F98" s="65" t="s">
        <v>207</v>
      </c>
      <c r="H98" s="339"/>
    </row>
    <row r="99" spans="1:8" ht="15" customHeight="1" x14ac:dyDescent="0.25">
      <c r="A99" s="652" t="s">
        <v>315</v>
      </c>
      <c r="B99" s="899"/>
      <c r="C99" s="653"/>
      <c r="D99" s="510"/>
      <c r="E99" s="514">
        <f>+E89*E92</f>
        <v>0</v>
      </c>
      <c r="F99" s="65" t="s">
        <v>207</v>
      </c>
      <c r="H99" s="339"/>
    </row>
    <row r="100" spans="1:8" ht="15" customHeight="1" x14ac:dyDescent="0.25">
      <c r="A100" s="652" t="s">
        <v>242</v>
      </c>
      <c r="B100" s="899"/>
      <c r="C100" s="653"/>
      <c r="D100" s="507"/>
      <c r="E100" s="514">
        <f>SUM(E97:E99)</f>
        <v>0</v>
      </c>
      <c r="F100" s="65" t="s">
        <v>207</v>
      </c>
      <c r="G100" s="621"/>
      <c r="H100" s="332"/>
    </row>
    <row r="101" spans="1:8" x14ac:dyDescent="0.25">
      <c r="A101" s="728"/>
      <c r="B101" s="728"/>
      <c r="C101" s="728"/>
      <c r="D101" s="728"/>
      <c r="E101" s="728"/>
      <c r="F101" s="728"/>
      <c r="G101" s="728"/>
      <c r="H101" s="728"/>
    </row>
    <row r="102" spans="1:8" ht="30.2" customHeight="1" x14ac:dyDescent="0.25">
      <c r="A102" s="931" t="s">
        <v>32</v>
      </c>
      <c r="B102" s="932"/>
      <c r="C102" s="932"/>
      <c r="D102" s="933"/>
      <c r="E102" s="296" t="str">
        <f>IF(E100&gt;=F85,F85,"Error")</f>
        <v>Error</v>
      </c>
      <c r="F102" s="513" t="s">
        <v>249</v>
      </c>
      <c r="G102" s="927"/>
      <c r="H102" s="884"/>
    </row>
    <row r="103" spans="1:8" x14ac:dyDescent="0.25">
      <c r="A103" s="520"/>
      <c r="B103" s="520"/>
      <c r="C103" s="520"/>
      <c r="D103" s="520"/>
      <c r="E103" s="501"/>
      <c r="F103" s="501"/>
    </row>
    <row r="104" spans="1:8" x14ac:dyDescent="0.25">
      <c r="A104" s="623"/>
      <c r="B104" s="622"/>
      <c r="C104" s="622"/>
      <c r="D104" s="622"/>
      <c r="E104" s="622"/>
      <c r="F104" s="622"/>
      <c r="G104" s="622"/>
      <c r="H104" s="567"/>
    </row>
    <row r="105" spans="1:8" x14ac:dyDescent="0.25">
      <c r="A105" s="624"/>
      <c r="H105" s="339"/>
    </row>
    <row r="106" spans="1:8" x14ac:dyDescent="0.25">
      <c r="A106" s="624"/>
      <c r="H106" s="339"/>
    </row>
    <row r="107" spans="1:8" x14ac:dyDescent="0.25">
      <c r="A107" s="624"/>
      <c r="H107" s="339"/>
    </row>
    <row r="108" spans="1:8" x14ac:dyDescent="0.25">
      <c r="A108" s="624"/>
      <c r="H108" s="339"/>
    </row>
    <row r="109" spans="1:8" x14ac:dyDescent="0.25">
      <c r="A109" s="624"/>
      <c r="H109" s="339"/>
    </row>
    <row r="110" spans="1:8" x14ac:dyDescent="0.25">
      <c r="A110" s="624"/>
      <c r="H110" s="339"/>
    </row>
    <row r="111" spans="1:8" x14ac:dyDescent="0.25">
      <c r="A111" s="624"/>
      <c r="H111" s="339"/>
    </row>
    <row r="112" spans="1:8" x14ac:dyDescent="0.25">
      <c r="A112" s="624"/>
      <c r="H112" s="339"/>
    </row>
    <row r="113" spans="1:8" x14ac:dyDescent="0.25">
      <c r="A113" s="624"/>
      <c r="H113" s="339"/>
    </row>
    <row r="114" spans="1:8" x14ac:dyDescent="0.25">
      <c r="A114" s="624"/>
      <c r="H114" s="339"/>
    </row>
    <row r="115" spans="1:8" x14ac:dyDescent="0.25">
      <c r="A115" s="621"/>
      <c r="B115" s="625"/>
      <c r="C115" s="625"/>
      <c r="D115" s="625"/>
      <c r="E115" s="625"/>
      <c r="F115" s="625"/>
      <c r="G115" s="625"/>
      <c r="H115" s="332"/>
    </row>
    <row r="119" spans="1:8" x14ac:dyDescent="0.25">
      <c r="A119" s="695" t="s">
        <v>152</v>
      </c>
      <c r="B119" s="695"/>
      <c r="C119" s="695"/>
      <c r="D119" s="695" t="s">
        <v>153</v>
      </c>
      <c r="E119" s="695"/>
      <c r="F119" s="695"/>
      <c r="G119" s="695" t="s">
        <v>154</v>
      </c>
      <c r="H119" s="695"/>
    </row>
    <row r="120" spans="1:8" x14ac:dyDescent="0.25">
      <c r="A120" s="501"/>
      <c r="B120" s="501"/>
      <c r="C120" s="501"/>
      <c r="D120" s="501"/>
      <c r="E120" s="501"/>
      <c r="F120" s="501"/>
      <c r="G120" s="501"/>
      <c r="H120" s="501"/>
    </row>
    <row r="121" spans="1:8" x14ac:dyDescent="0.25">
      <c r="A121" s="561" t="s">
        <v>600</v>
      </c>
      <c r="B121" s="562" t="str">
        <f>IF('Total WQv Calculation'!$B$3="","",'Total WQv Calculation'!$B$3)</f>
        <v/>
      </c>
      <c r="C121" s="501"/>
      <c r="D121" s="501"/>
      <c r="E121" s="501"/>
      <c r="F121" s="501"/>
      <c r="G121" s="501"/>
      <c r="H121" s="501"/>
    </row>
    <row r="122" spans="1:8" x14ac:dyDescent="0.25">
      <c r="A122" s="840" t="s">
        <v>79</v>
      </c>
      <c r="B122" s="840"/>
      <c r="C122" s="840"/>
      <c r="D122" s="840"/>
      <c r="E122" s="840"/>
      <c r="F122" s="840"/>
      <c r="G122" s="840"/>
      <c r="H122" s="840"/>
    </row>
    <row r="123" spans="1:8" ht="45" x14ac:dyDescent="0.25">
      <c r="A123" s="496" t="s">
        <v>493</v>
      </c>
      <c r="B123" s="535" t="s">
        <v>5</v>
      </c>
      <c r="C123" s="535" t="s">
        <v>6</v>
      </c>
      <c r="D123" s="535" t="s">
        <v>70</v>
      </c>
      <c r="E123" s="535" t="s">
        <v>7</v>
      </c>
      <c r="F123" s="535" t="s">
        <v>1</v>
      </c>
      <c r="G123" s="535" t="s">
        <v>71</v>
      </c>
      <c r="H123" s="497" t="s">
        <v>29</v>
      </c>
    </row>
    <row r="124" spans="1:8" ht="17.25" x14ac:dyDescent="0.25">
      <c r="A124" s="24"/>
      <c r="B124" s="20" t="s">
        <v>76</v>
      </c>
      <c r="C124" s="20" t="s">
        <v>76</v>
      </c>
      <c r="D124" s="20" t="s">
        <v>11</v>
      </c>
      <c r="E124" s="20"/>
      <c r="F124" s="20" t="s">
        <v>205</v>
      </c>
      <c r="G124" s="20" t="s">
        <v>89</v>
      </c>
      <c r="H124" s="25"/>
    </row>
    <row r="125" spans="1:8" ht="30.2" customHeight="1" x14ac:dyDescent="0.25">
      <c r="A125" s="509"/>
      <c r="B125" s="61" t="str">
        <f>IF($A125="","",(LOOKUP($A125,'Catchment Summary Table'!$A$4:$A$33,'Catchment Summary Table'!$B$4:$B$33)))</f>
        <v/>
      </c>
      <c r="C125" s="61" t="str">
        <f>IF($A125="","",(LOOKUP($A125,'Catchment Summary Table'!$A$4:$A$33,'Catchment Summary Table'!$C$4:$C$33)))</f>
        <v/>
      </c>
      <c r="D125" s="61" t="str">
        <f>IF($A125="","",(LOOKUP($A125,'Catchment Summary Table'!$A$4:$A$33,'Catchment Summary Table'!$D$4:$D$33)))</f>
        <v/>
      </c>
      <c r="E125" s="61" t="str">
        <f>IF($A125="","",(LOOKUP($A125,'Catchment Summary Table'!$A$4:$A$33,'Catchment Summary Table'!$E$4:$E$33)))</f>
        <v/>
      </c>
      <c r="F125" s="61" t="str">
        <f>IF($A125="","",(LOOKUP($A125,'Catchment Summary Table'!$A$4:$A$33,'Catchment Summary Table'!$F$4:$F$33)))</f>
        <v/>
      </c>
      <c r="G125" s="286" t="str">
        <f>IF(B125="","",IFERROR('Total WQv Calculation'!$B$4,""))</f>
        <v/>
      </c>
      <c r="H125" s="510" t="str">
        <f>IF($A125="","",(LOOKUP($A125,'Catchment Summary Table'!$A$4:$A$33,'Catchment Summary Table'!$G$4:$G$33)))</f>
        <v/>
      </c>
    </row>
    <row r="126" spans="1:8" x14ac:dyDescent="0.25">
      <c r="A126" s="695"/>
      <c r="B126" s="695"/>
      <c r="C126" s="695"/>
      <c r="D126" s="695"/>
      <c r="E126" s="695"/>
      <c r="F126" s="695"/>
      <c r="G126" s="695"/>
      <c r="H126" s="695"/>
    </row>
    <row r="127" spans="1:8" x14ac:dyDescent="0.25">
      <c r="A127" s="840" t="s">
        <v>91</v>
      </c>
      <c r="B127" s="840"/>
      <c r="C127" s="840"/>
      <c r="D127" s="840"/>
      <c r="E127" s="840"/>
      <c r="F127" s="840"/>
      <c r="G127" s="840"/>
      <c r="H127" s="840"/>
    </row>
    <row r="128" spans="1:8" ht="15" customHeight="1" x14ac:dyDescent="0.25">
      <c r="A128" s="499"/>
      <c r="G128" s="930" t="s">
        <v>30</v>
      </c>
      <c r="H128" s="930"/>
    </row>
    <row r="129" spans="1:8" ht="15" customHeight="1" x14ac:dyDescent="0.25">
      <c r="A129" s="844" t="s">
        <v>92</v>
      </c>
      <c r="B129" s="844"/>
      <c r="C129" s="844"/>
      <c r="D129" s="510" t="s">
        <v>155</v>
      </c>
      <c r="E129" s="626"/>
      <c r="F129" s="516" t="s">
        <v>210</v>
      </c>
      <c r="G129" s="921"/>
      <c r="H129" s="921"/>
    </row>
    <row r="130" spans="1:8" ht="15" customHeight="1" x14ac:dyDescent="0.25">
      <c r="A130" s="844" t="s">
        <v>93</v>
      </c>
      <c r="B130" s="844"/>
      <c r="C130" s="844"/>
      <c r="D130" s="510" t="s">
        <v>156</v>
      </c>
      <c r="E130" s="627"/>
      <c r="F130" s="516" t="s">
        <v>12</v>
      </c>
      <c r="G130" s="921" t="s">
        <v>314</v>
      </c>
      <c r="H130" s="921"/>
    </row>
    <row r="131" spans="1:8" ht="15" customHeight="1" x14ac:dyDescent="0.25">
      <c r="A131" s="844" t="s">
        <v>94</v>
      </c>
      <c r="B131" s="844"/>
      <c r="C131" s="844"/>
      <c r="D131" s="510" t="s">
        <v>157</v>
      </c>
      <c r="E131" s="628"/>
      <c r="F131" s="516" t="s">
        <v>12</v>
      </c>
      <c r="G131" s="921"/>
      <c r="H131" s="921"/>
    </row>
    <row r="132" spans="1:8" ht="15" customHeight="1" x14ac:dyDescent="0.25">
      <c r="A132" s="844" t="s">
        <v>95</v>
      </c>
      <c r="B132" s="844"/>
      <c r="C132" s="844"/>
      <c r="D132" s="510" t="s">
        <v>158</v>
      </c>
      <c r="E132" s="628"/>
      <c r="F132" s="516" t="s">
        <v>12</v>
      </c>
      <c r="G132" s="921"/>
      <c r="H132" s="921"/>
    </row>
    <row r="133" spans="1:8" ht="15" customHeight="1" x14ac:dyDescent="0.25">
      <c r="A133" s="844" t="s">
        <v>96</v>
      </c>
      <c r="B133" s="844"/>
      <c r="C133" s="844"/>
      <c r="D133" s="510" t="s">
        <v>159</v>
      </c>
      <c r="E133" s="629"/>
      <c r="F133" s="516"/>
      <c r="G133" s="921" t="s">
        <v>99</v>
      </c>
      <c r="H133" s="921"/>
    </row>
    <row r="134" spans="1:8" ht="15" customHeight="1" x14ac:dyDescent="0.25">
      <c r="A134" s="844" t="s">
        <v>97</v>
      </c>
      <c r="B134" s="844"/>
      <c r="C134" s="844"/>
      <c r="D134" s="510" t="s">
        <v>160</v>
      </c>
      <c r="E134" s="629"/>
      <c r="F134" s="516"/>
      <c r="G134" s="921" t="s">
        <v>100</v>
      </c>
      <c r="H134" s="921"/>
    </row>
    <row r="135" spans="1:8" x14ac:dyDescent="0.25">
      <c r="A135" s="695"/>
      <c r="B135" s="695"/>
      <c r="C135" s="695"/>
      <c r="D135" s="695"/>
      <c r="E135" s="695"/>
      <c r="F135" s="695"/>
      <c r="G135" s="695"/>
      <c r="H135" s="695"/>
    </row>
    <row r="136" spans="1:8" ht="15" customHeight="1" x14ac:dyDescent="0.25">
      <c r="A136" s="840" t="s">
        <v>98</v>
      </c>
      <c r="B136" s="840"/>
      <c r="C136" s="840"/>
      <c r="D136" s="840"/>
      <c r="E136" s="840"/>
      <c r="F136" s="840"/>
      <c r="G136" s="840"/>
      <c r="H136" s="840"/>
    </row>
    <row r="137" spans="1:8" ht="15" customHeight="1" x14ac:dyDescent="0.25">
      <c r="A137" s="723" t="s">
        <v>101</v>
      </c>
      <c r="B137" s="723"/>
      <c r="C137" s="723"/>
      <c r="D137" s="510" t="s">
        <v>161</v>
      </c>
      <c r="E137" s="514">
        <f>E129*E130*E133</f>
        <v>0</v>
      </c>
      <c r="F137" s="65" t="s">
        <v>207</v>
      </c>
      <c r="H137" s="567"/>
    </row>
    <row r="138" spans="1:8" ht="15" customHeight="1" x14ac:dyDescent="0.25">
      <c r="A138" s="723" t="s">
        <v>102</v>
      </c>
      <c r="B138" s="723"/>
      <c r="C138" s="723"/>
      <c r="D138" s="510" t="s">
        <v>162</v>
      </c>
      <c r="E138" s="514">
        <f>E129*E131*E134</f>
        <v>0</v>
      </c>
      <c r="F138" s="65" t="s">
        <v>207</v>
      </c>
      <c r="H138" s="339"/>
    </row>
    <row r="139" spans="1:8" ht="15" customHeight="1" x14ac:dyDescent="0.25">
      <c r="A139" s="723" t="s">
        <v>315</v>
      </c>
      <c r="B139" s="723"/>
      <c r="C139" s="723"/>
      <c r="D139" s="510"/>
      <c r="E139" s="514">
        <f>+E129*E132</f>
        <v>0</v>
      </c>
      <c r="F139" s="65" t="s">
        <v>207</v>
      </c>
      <c r="H139" s="339"/>
    </row>
    <row r="140" spans="1:8" ht="15" customHeight="1" x14ac:dyDescent="0.25">
      <c r="A140" s="723" t="s">
        <v>242</v>
      </c>
      <c r="B140" s="723"/>
      <c r="C140" s="723"/>
      <c r="D140" s="507"/>
      <c r="E140" s="514">
        <f>SUM(E137:E139)</f>
        <v>0</v>
      </c>
      <c r="F140" s="65" t="s">
        <v>207</v>
      </c>
      <c r="G140" s="621"/>
      <c r="H140" s="332"/>
    </row>
    <row r="141" spans="1:8" x14ac:dyDescent="0.25">
      <c r="A141" s="695"/>
      <c r="B141" s="695"/>
      <c r="C141" s="695"/>
      <c r="D141" s="695"/>
      <c r="E141" s="695"/>
      <c r="F141" s="695"/>
      <c r="G141" s="695"/>
      <c r="H141" s="695"/>
    </row>
    <row r="142" spans="1:8" ht="30.2" customHeight="1" x14ac:dyDescent="0.25">
      <c r="A142" s="927" t="s">
        <v>32</v>
      </c>
      <c r="B142" s="883"/>
      <c r="C142" s="883"/>
      <c r="D142" s="934"/>
      <c r="E142" s="296" t="str">
        <f>IF(E140&gt;=F125,F125,"Error")</f>
        <v>Error</v>
      </c>
      <c r="F142" s="515" t="s">
        <v>554</v>
      </c>
      <c r="G142" s="927"/>
      <c r="H142" s="884"/>
    </row>
    <row r="144" spans="1:8" x14ac:dyDescent="0.25">
      <c r="A144" s="623"/>
      <c r="B144" s="622"/>
      <c r="C144" s="622"/>
      <c r="D144" s="622"/>
      <c r="E144" s="622"/>
      <c r="F144" s="622"/>
      <c r="G144" s="622"/>
      <c r="H144" s="567"/>
    </row>
    <row r="145" spans="1:8" x14ac:dyDescent="0.25">
      <c r="A145" s="624"/>
      <c r="H145" s="339"/>
    </row>
    <row r="146" spans="1:8" x14ac:dyDescent="0.25">
      <c r="A146" s="624"/>
      <c r="H146" s="339"/>
    </row>
    <row r="147" spans="1:8" x14ac:dyDescent="0.25">
      <c r="A147" s="624"/>
      <c r="H147" s="339"/>
    </row>
    <row r="148" spans="1:8" x14ac:dyDescent="0.25">
      <c r="A148" s="624"/>
      <c r="H148" s="339"/>
    </row>
    <row r="149" spans="1:8" x14ac:dyDescent="0.25">
      <c r="A149" s="624"/>
      <c r="H149" s="339"/>
    </row>
    <row r="150" spans="1:8" x14ac:dyDescent="0.25">
      <c r="A150" s="624"/>
      <c r="H150" s="339"/>
    </row>
    <row r="151" spans="1:8" x14ac:dyDescent="0.25">
      <c r="A151" s="624"/>
      <c r="H151" s="339"/>
    </row>
    <row r="152" spans="1:8" x14ac:dyDescent="0.25">
      <c r="A152" s="624"/>
      <c r="H152" s="339"/>
    </row>
    <row r="153" spans="1:8" x14ac:dyDescent="0.25">
      <c r="A153" s="624"/>
      <c r="H153" s="339"/>
    </row>
    <row r="154" spans="1:8" x14ac:dyDescent="0.25">
      <c r="A154" s="624"/>
      <c r="H154" s="339"/>
    </row>
    <row r="155" spans="1:8" x14ac:dyDescent="0.25">
      <c r="A155" s="621"/>
      <c r="B155" s="625"/>
      <c r="C155" s="625"/>
      <c r="D155" s="625"/>
      <c r="E155" s="625"/>
      <c r="F155" s="625"/>
      <c r="G155" s="625"/>
      <c r="H155" s="332"/>
    </row>
  </sheetData>
  <sheetProtection password="C7D7" sheet="1" objects="1" scenarios="1" formatColumns="0" formatRows="0"/>
  <mergeCells count="113">
    <mergeCell ref="G142:H142"/>
    <mergeCell ref="A142:D142"/>
    <mergeCell ref="A140:C140"/>
    <mergeCell ref="A141:H141"/>
    <mergeCell ref="A135:H135"/>
    <mergeCell ref="A136:H136"/>
    <mergeCell ref="A137:C137"/>
    <mergeCell ref="A138:C138"/>
    <mergeCell ref="A139:C139"/>
    <mergeCell ref="A132:C132"/>
    <mergeCell ref="G132:H132"/>
    <mergeCell ref="A133:C133"/>
    <mergeCell ref="G133:H133"/>
    <mergeCell ref="A134:C134"/>
    <mergeCell ref="G134:H134"/>
    <mergeCell ref="A129:C129"/>
    <mergeCell ref="G129:H129"/>
    <mergeCell ref="A130:C130"/>
    <mergeCell ref="G130:H130"/>
    <mergeCell ref="A131:C131"/>
    <mergeCell ref="G131:H131"/>
    <mergeCell ref="A122:H122"/>
    <mergeCell ref="A126:H126"/>
    <mergeCell ref="A127:H127"/>
    <mergeCell ref="G128:H128"/>
    <mergeCell ref="A100:C100"/>
    <mergeCell ref="A101:H101"/>
    <mergeCell ref="A119:C119"/>
    <mergeCell ref="D119:F119"/>
    <mergeCell ref="G119:H119"/>
    <mergeCell ref="A95:H95"/>
    <mergeCell ref="A96:H96"/>
    <mergeCell ref="A97:C97"/>
    <mergeCell ref="A98:C98"/>
    <mergeCell ref="A99:C99"/>
    <mergeCell ref="A102:D102"/>
    <mergeCell ref="G102:H102"/>
    <mergeCell ref="A92:C92"/>
    <mergeCell ref="G92:H92"/>
    <mergeCell ref="A93:C93"/>
    <mergeCell ref="G93:H93"/>
    <mergeCell ref="A94:C94"/>
    <mergeCell ref="G94:H94"/>
    <mergeCell ref="A89:C89"/>
    <mergeCell ref="G89:H89"/>
    <mergeCell ref="A90:C90"/>
    <mergeCell ref="G90:H90"/>
    <mergeCell ref="A91:C91"/>
    <mergeCell ref="G91:H91"/>
    <mergeCell ref="A82:H82"/>
    <mergeCell ref="A86:H86"/>
    <mergeCell ref="A87:H87"/>
    <mergeCell ref="G88:H88"/>
    <mergeCell ref="A62:H62"/>
    <mergeCell ref="A79:C79"/>
    <mergeCell ref="D79:F79"/>
    <mergeCell ref="G79:H79"/>
    <mergeCell ref="A63:D63"/>
    <mergeCell ref="G63:H63"/>
    <mergeCell ref="A57:H57"/>
    <mergeCell ref="A58:C58"/>
    <mergeCell ref="A59:C59"/>
    <mergeCell ref="A60:C60"/>
    <mergeCell ref="A61:C61"/>
    <mergeCell ref="A54:C54"/>
    <mergeCell ref="G54:H54"/>
    <mergeCell ref="A55:C55"/>
    <mergeCell ref="G55:H55"/>
    <mergeCell ref="A56:H56"/>
    <mergeCell ref="A51:C51"/>
    <mergeCell ref="G51:H51"/>
    <mergeCell ref="A52:C52"/>
    <mergeCell ref="G52:H52"/>
    <mergeCell ref="A53:C53"/>
    <mergeCell ref="G53:H53"/>
    <mergeCell ref="A47:H47"/>
    <mergeCell ref="A48:H48"/>
    <mergeCell ref="G49:H49"/>
    <mergeCell ref="A50:C50"/>
    <mergeCell ref="G50:H50"/>
    <mergeCell ref="A40:C40"/>
    <mergeCell ref="D40:F40"/>
    <mergeCell ref="G40:H40"/>
    <mergeCell ref="A43:H43"/>
    <mergeCell ref="A23:H23"/>
    <mergeCell ref="A21:C21"/>
    <mergeCell ref="A24:D24"/>
    <mergeCell ref="G24:H24"/>
    <mergeCell ref="A20:C20"/>
    <mergeCell ref="A16:C16"/>
    <mergeCell ref="G16:H16"/>
    <mergeCell ref="A17:H17"/>
    <mergeCell ref="A18:H18"/>
    <mergeCell ref="A19:C19"/>
    <mergeCell ref="A15:C15"/>
    <mergeCell ref="G15:H15"/>
    <mergeCell ref="A9:H9"/>
    <mergeCell ref="G10:H10"/>
    <mergeCell ref="A11:C11"/>
    <mergeCell ref="G11:H11"/>
    <mergeCell ref="A12:C12"/>
    <mergeCell ref="G12:H12"/>
    <mergeCell ref="A22:C22"/>
    <mergeCell ref="A8:H8"/>
    <mergeCell ref="A1:C1"/>
    <mergeCell ref="D1:F1"/>
    <mergeCell ref="G1:H1"/>
    <mergeCell ref="A2:H2"/>
    <mergeCell ref="A4:H4"/>
    <mergeCell ref="A13:C13"/>
    <mergeCell ref="G13:H13"/>
    <mergeCell ref="A14:C14"/>
    <mergeCell ref="G14:H14"/>
  </mergeCells>
  <dataValidations count="1">
    <dataValidation type="list" showInputMessage="1" showErrorMessage="1" promptTitle="Choose Area" sqref="A125 A46 A85 A7">
      <formula1>CatchNo</formula1>
    </dataValidation>
  </dataValidations>
  <pageMargins left="0.7" right="0.7" top="1.25" bottom="0.75" header="0.3" footer="0.3"/>
  <pageSetup orientation="portrait" r:id="rId1"/>
  <headerFooter>
    <oddHeader xml:space="preserve">&amp;C&amp;20Intensive Green Roof Worksheet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121"/>
  <sheetViews>
    <sheetView view="pageLayout" zoomScaleNormal="100" workbookViewId="0">
      <selection activeCell="A4" sqref="A4"/>
    </sheetView>
  </sheetViews>
  <sheetFormatPr defaultColWidth="9.140625" defaultRowHeight="15" x14ac:dyDescent="0.25"/>
  <cols>
    <col min="1" max="1" width="12.5703125" style="529" bestFit="1" customWidth="1"/>
    <col min="2" max="2" width="10.140625" style="529" bestFit="1" customWidth="1"/>
    <col min="3" max="3" width="11" style="529" customWidth="1"/>
    <col min="4" max="4" width="10.7109375" style="529" customWidth="1"/>
    <col min="5" max="6" width="7.5703125" style="529" customWidth="1"/>
    <col min="7" max="7" width="12.5703125" style="529" customWidth="1"/>
    <col min="8" max="8" width="17.85546875" style="529" customWidth="1"/>
    <col min="9" max="9" width="21.42578125" style="529" bestFit="1" customWidth="1"/>
    <col min="10" max="10" width="9.140625" style="529"/>
    <col min="11" max="14" width="9.140625" style="529" hidden="1" customWidth="1"/>
    <col min="15" max="16384" width="9.140625" style="529"/>
  </cols>
  <sheetData>
    <row r="1" spans="1:8" ht="15" customHeight="1" x14ac:dyDescent="0.25">
      <c r="A1" s="561" t="s">
        <v>600</v>
      </c>
      <c r="B1" s="562" t="str">
        <f>IF('Total WQv Calculation'!$B$3="","",'Total WQv Calculation'!$B$3)</f>
        <v/>
      </c>
    </row>
    <row r="2" spans="1:8" x14ac:dyDescent="0.25">
      <c r="A2" s="667" t="s">
        <v>79</v>
      </c>
      <c r="B2" s="668"/>
      <c r="C2" s="668"/>
      <c r="D2" s="668"/>
      <c r="E2" s="668"/>
      <c r="F2" s="668"/>
      <c r="G2" s="668"/>
      <c r="H2" s="669"/>
    </row>
    <row r="3" spans="1:8" ht="46.7" customHeight="1" x14ac:dyDescent="0.25">
      <c r="A3" s="504" t="s">
        <v>493</v>
      </c>
      <c r="B3" s="505" t="s">
        <v>610</v>
      </c>
      <c r="C3" s="578" t="s">
        <v>611</v>
      </c>
      <c r="D3" s="505" t="s">
        <v>612</v>
      </c>
      <c r="E3" s="505" t="s">
        <v>7</v>
      </c>
      <c r="F3" s="505" t="s">
        <v>613</v>
      </c>
      <c r="G3" s="505" t="s">
        <v>614</v>
      </c>
      <c r="H3" s="506" t="s">
        <v>29</v>
      </c>
    </row>
    <row r="4" spans="1:8" ht="30.2" customHeight="1" x14ac:dyDescent="0.25">
      <c r="A4" s="213"/>
      <c r="B4" s="576" t="str">
        <f>IF($A4="","",(LOOKUP($A4,'Catchment Summary Table'!$A$4:$A$33,'Catchment Summary Table'!$B$4:$B$33)))</f>
        <v/>
      </c>
      <c r="C4" s="576" t="str">
        <f>IF($A4="","",(LOOKUP($A4,'Catchment Summary Table'!$A$4:$A$33,'Catchment Summary Table'!$C$4:$C$33)))</f>
        <v/>
      </c>
      <c r="D4" s="576" t="str">
        <f>IF($A4="","",(LOOKUP($A4,'Catchment Summary Table'!$A$4:$A$33,'Catchment Summary Table'!$D$4:$D$33)))</f>
        <v/>
      </c>
      <c r="E4" s="576" t="str">
        <f>IF($A4="","",(LOOKUP($A4,'Catchment Summary Table'!$A$4:$A$33,'Catchment Summary Table'!$E$4:$E$33)))</f>
        <v/>
      </c>
      <c r="F4" s="576" t="str">
        <f>IF($A4="","",(LOOKUP($A4,'Catchment Summary Table'!$A$4:$A$33,'Catchment Summary Table'!$F$4:$F$33)))</f>
        <v/>
      </c>
      <c r="G4" s="577" t="str">
        <f>IF(B4="","",IFERROR('Total WQv Calculation'!$B$4,""))</f>
        <v/>
      </c>
      <c r="H4" s="546" t="str">
        <f>IF($A4="","",(LOOKUP($A4,'Catchment Summary Table'!$A$4:$A$33,'Catchment Summary Table'!$G$4:$G$33)))</f>
        <v/>
      </c>
    </row>
    <row r="5" spans="1:8" s="632" customFormat="1" ht="30.2" customHeight="1" x14ac:dyDescent="0.25">
      <c r="A5" s="935" t="s">
        <v>549</v>
      </c>
      <c r="B5" s="936"/>
      <c r="C5" s="297"/>
      <c r="D5" s="274" t="str">
        <f>IF(ISERROR((C4-C5)/B4),"",(C4-C5)/B4)</f>
        <v/>
      </c>
      <c r="E5" s="299" t="str">
        <f>IF(ISERROR(D5*100*0.009+0.05),"",(D5*100*0.009+0.05))</f>
        <v/>
      </c>
      <c r="F5" s="275" t="str">
        <f>IF(ISERROR(E5*B4*G4/12*43560 ),"",(E5*B4*G4/12*43560 ))</f>
        <v/>
      </c>
      <c r="G5" s="744" t="s">
        <v>550</v>
      </c>
      <c r="H5" s="916"/>
    </row>
    <row r="6" spans="1:8" ht="30.2" customHeight="1" x14ac:dyDescent="0.25">
      <c r="A6" s="946" t="s">
        <v>545</v>
      </c>
      <c r="B6" s="947"/>
      <c r="C6" s="947"/>
      <c r="D6" s="947"/>
      <c r="E6" s="948"/>
      <c r="F6" s="265"/>
      <c r="G6" s="171" t="s">
        <v>207</v>
      </c>
      <c r="H6" s="633"/>
    </row>
    <row r="7" spans="1:8" x14ac:dyDescent="0.25">
      <c r="A7" s="940" t="str">
        <f>IF(C4&gt;5,"Drainage Area exceeds the maximum allowable unless soil infiltration rate exceeds 5 in/hr"," ")</f>
        <v>Drainage Area exceeds the maximum allowable unless soil infiltration rate exceeds 5 in/hr</v>
      </c>
      <c r="B7" s="941"/>
      <c r="C7" s="941"/>
      <c r="D7" s="941"/>
      <c r="E7" s="941"/>
      <c r="F7" s="941"/>
      <c r="G7" s="941"/>
      <c r="H7" s="942"/>
    </row>
    <row r="8" spans="1:8" x14ac:dyDescent="0.25">
      <c r="A8" s="937" t="s">
        <v>103</v>
      </c>
      <c r="B8" s="938"/>
      <c r="C8" s="938"/>
      <c r="D8" s="938"/>
      <c r="E8" s="938"/>
      <c r="F8" s="938"/>
      <c r="G8" s="938"/>
      <c r="H8" s="939"/>
    </row>
    <row r="9" spans="1:8" ht="15" customHeight="1" x14ac:dyDescent="0.25">
      <c r="A9" s="844" t="s">
        <v>316</v>
      </c>
      <c r="B9" s="844"/>
      <c r="C9" s="844"/>
      <c r="D9" s="104"/>
      <c r="E9" s="498" t="s">
        <v>317</v>
      </c>
      <c r="F9" s="912" t="str">
        <f>IF(D9="","",IF(D9&gt;=0.5,"Okay","Error, Infiltration rate is too low, practice is not appropriate"))</f>
        <v/>
      </c>
      <c r="G9" s="912"/>
      <c r="H9" s="912"/>
    </row>
    <row r="10" spans="1:8" ht="53.25" customHeight="1" x14ac:dyDescent="0.25">
      <c r="A10" s="844" t="s">
        <v>318</v>
      </c>
      <c r="B10" s="844"/>
      <c r="C10" s="844"/>
      <c r="D10" s="103"/>
      <c r="E10" s="498" t="s">
        <v>445</v>
      </c>
      <c r="F10" s="913" t="s">
        <v>448</v>
      </c>
      <c r="G10" s="913"/>
      <c r="H10" s="913"/>
    </row>
    <row r="11" spans="1:8" ht="15" customHeight="1" x14ac:dyDescent="0.25">
      <c r="A11" s="844" t="s">
        <v>446</v>
      </c>
      <c r="B11" s="844"/>
      <c r="C11" s="844"/>
      <c r="D11" s="514" t="str">
        <f>IF(ISERROR(D10*(F5+F6)/100),"",D10*(F5+F6)/100)</f>
        <v/>
      </c>
      <c r="E11" s="498" t="s">
        <v>207</v>
      </c>
      <c r="F11" s="723"/>
      <c r="G11" s="723"/>
      <c r="H11" s="723"/>
    </row>
    <row r="12" spans="1:8" ht="15" customHeight="1" x14ac:dyDescent="0.25">
      <c r="A12" s="844" t="s">
        <v>440</v>
      </c>
      <c r="B12" s="844"/>
      <c r="C12" s="844"/>
      <c r="D12" s="283"/>
      <c r="E12" s="498" t="s">
        <v>207</v>
      </c>
      <c r="F12" s="724" t="str">
        <f>IF(D12&lt;D11,"Inadequate Pretreatment Provided"," ")</f>
        <v xml:space="preserve"> </v>
      </c>
      <c r="G12" s="725"/>
      <c r="H12" s="726"/>
    </row>
    <row r="13" spans="1:8" ht="15" customHeight="1" x14ac:dyDescent="0.25">
      <c r="A13" s="844" t="s">
        <v>447</v>
      </c>
      <c r="B13" s="844"/>
      <c r="C13" s="844"/>
      <c r="D13" s="905"/>
      <c r="E13" s="944"/>
      <c r="F13" s="944"/>
      <c r="G13" s="945"/>
      <c r="H13" s="142"/>
    </row>
    <row r="14" spans="1:8" x14ac:dyDescent="0.25">
      <c r="A14" s="924" t="s">
        <v>104</v>
      </c>
      <c r="B14" s="925"/>
      <c r="C14" s="925"/>
      <c r="D14" s="925"/>
      <c r="E14" s="925"/>
      <c r="F14" s="925"/>
      <c r="G14" s="925"/>
      <c r="H14" s="926"/>
    </row>
    <row r="15" spans="1:8" ht="30.2" customHeight="1" x14ac:dyDescent="0.25">
      <c r="A15" s="510" t="s">
        <v>105</v>
      </c>
      <c r="B15" s="514">
        <f>SUM(F5,F6)</f>
        <v>0</v>
      </c>
      <c r="C15" s="516" t="s">
        <v>207</v>
      </c>
      <c r="D15" s="723" t="s">
        <v>1</v>
      </c>
      <c r="E15" s="723"/>
      <c r="F15" s="723"/>
      <c r="G15" s="723"/>
      <c r="H15" s="723"/>
    </row>
    <row r="16" spans="1:8" ht="30.2" customHeight="1" x14ac:dyDescent="0.25">
      <c r="A16" s="510" t="s">
        <v>449</v>
      </c>
      <c r="B16" s="514">
        <f>IF(B18=0,0,B15/(B18))</f>
        <v>0</v>
      </c>
      <c r="C16" s="516" t="s">
        <v>210</v>
      </c>
      <c r="D16" s="814" t="s">
        <v>421</v>
      </c>
      <c r="E16" s="814"/>
      <c r="F16" s="814"/>
      <c r="G16" s="814"/>
      <c r="H16" s="814"/>
    </row>
    <row r="17" spans="1:8" ht="30.2" customHeight="1" x14ac:dyDescent="0.25">
      <c r="A17" s="510" t="s">
        <v>450</v>
      </c>
      <c r="B17" s="283"/>
      <c r="C17" s="516" t="s">
        <v>210</v>
      </c>
      <c r="D17" s="859" t="str">
        <f>IF(B17&lt;B16,"Error, too small"," ")</f>
        <v xml:space="preserve"> </v>
      </c>
      <c r="E17" s="859"/>
      <c r="F17" s="859"/>
      <c r="G17" s="859"/>
      <c r="H17" s="859"/>
    </row>
    <row r="18" spans="1:8" ht="15" customHeight="1" x14ac:dyDescent="0.25">
      <c r="A18" s="510" t="s">
        <v>190</v>
      </c>
      <c r="B18" s="104"/>
      <c r="C18" s="516" t="s">
        <v>12</v>
      </c>
      <c r="D18" s="723"/>
      <c r="E18" s="723"/>
      <c r="F18" s="723"/>
      <c r="G18" s="723"/>
      <c r="H18" s="723"/>
    </row>
    <row r="19" spans="1:8" ht="30" x14ac:dyDescent="0.25">
      <c r="A19" s="533" t="s">
        <v>309</v>
      </c>
      <c r="B19" s="261">
        <f>PRODUCT(B17,B18)</f>
        <v>0</v>
      </c>
      <c r="C19" s="516" t="s">
        <v>207</v>
      </c>
      <c r="D19" s="918" t="s">
        <v>310</v>
      </c>
      <c r="E19" s="918"/>
      <c r="F19" s="918"/>
      <c r="G19" s="918"/>
      <c r="H19" s="918"/>
    </row>
    <row r="20" spans="1:8" x14ac:dyDescent="0.25">
      <c r="A20" s="924" t="s">
        <v>88</v>
      </c>
      <c r="B20" s="925"/>
      <c r="C20" s="925"/>
      <c r="D20" s="925"/>
      <c r="E20" s="925"/>
      <c r="F20" s="925"/>
      <c r="G20" s="925"/>
      <c r="H20" s="926"/>
    </row>
    <row r="21" spans="1:8" ht="30.2" customHeight="1" x14ac:dyDescent="0.25">
      <c r="A21" s="515" t="s">
        <v>23</v>
      </c>
      <c r="B21" s="247">
        <f>IF(0.9*B19&gt;=((SUM(F5,F6))),(SUM(F5,F6)),B19*0.9)</f>
        <v>0</v>
      </c>
      <c r="C21" s="208" t="s">
        <v>249</v>
      </c>
      <c r="D21" s="943" t="s">
        <v>422</v>
      </c>
      <c r="E21" s="943"/>
      <c r="F21" s="943"/>
      <c r="G21" s="943"/>
      <c r="H21" s="943"/>
    </row>
    <row r="22" spans="1:8" ht="30.2" customHeight="1" x14ac:dyDescent="0.25">
      <c r="A22" s="525" t="s">
        <v>243</v>
      </c>
      <c r="B22" s="514" t="str">
        <f>IF(ISERROR((F5+F6)-B21),"",(F5+F6)-B21)</f>
        <v/>
      </c>
      <c r="C22" s="498" t="s">
        <v>207</v>
      </c>
      <c r="D22" s="814" t="s">
        <v>244</v>
      </c>
      <c r="E22" s="814"/>
      <c r="F22" s="814"/>
      <c r="G22" s="814"/>
      <c r="H22" s="814"/>
    </row>
    <row r="23" spans="1:8" ht="32.25" customHeight="1" x14ac:dyDescent="0.25">
      <c r="A23" s="525" t="s">
        <v>311</v>
      </c>
      <c r="B23" s="510" t="str">
        <f>IF(B19&gt;=(SUM(F5,F6)),"OK","Error")</f>
        <v>OK</v>
      </c>
      <c r="C23" s="510"/>
      <c r="D23" s="814" t="s">
        <v>418</v>
      </c>
      <c r="E23" s="814"/>
      <c r="F23" s="814"/>
      <c r="G23" s="814"/>
      <c r="H23" s="814"/>
    </row>
    <row r="24" spans="1:8" ht="32.25" customHeight="1" x14ac:dyDescent="0.25">
      <c r="A24" s="520"/>
      <c r="B24" s="501"/>
      <c r="C24" s="501"/>
      <c r="D24" s="518"/>
      <c r="E24" s="518"/>
      <c r="F24" s="518"/>
      <c r="G24" s="518"/>
      <c r="H24" s="518"/>
    </row>
    <row r="25" spans="1:8" ht="32.25" customHeight="1" x14ac:dyDescent="0.25">
      <c r="A25" s="520"/>
      <c r="B25" s="501"/>
      <c r="C25" s="501"/>
      <c r="D25" s="518"/>
      <c r="E25" s="518"/>
      <c r="F25" s="518"/>
      <c r="G25" s="518"/>
      <c r="H25" s="518"/>
    </row>
    <row r="26" spans="1:8" ht="32.25" customHeight="1" x14ac:dyDescent="0.25">
      <c r="A26" s="520"/>
      <c r="B26" s="501"/>
      <c r="C26" s="501"/>
      <c r="D26" s="518"/>
      <c r="E26" s="518"/>
      <c r="F26" s="518"/>
      <c r="G26" s="518"/>
      <c r="H26" s="518"/>
    </row>
    <row r="27" spans="1:8" x14ac:dyDescent="0.25">
      <c r="A27" s="501"/>
      <c r="B27" s="501"/>
      <c r="C27" s="501"/>
      <c r="D27" s="501"/>
      <c r="E27" s="501"/>
      <c r="F27" s="501"/>
      <c r="G27" s="501"/>
      <c r="H27" s="501"/>
    </row>
    <row r="28" spans="1:8" ht="30" x14ac:dyDescent="0.25">
      <c r="A28" s="561" t="s">
        <v>600</v>
      </c>
      <c r="B28" s="562" t="str">
        <f>IF('Total WQv Calculation'!$B$3="","",'Total WQv Calculation'!$B$3)</f>
        <v/>
      </c>
    </row>
    <row r="29" spans="1:8" x14ac:dyDescent="0.25">
      <c r="A29" s="667" t="s">
        <v>79</v>
      </c>
      <c r="B29" s="668"/>
      <c r="C29" s="668"/>
      <c r="D29" s="668"/>
      <c r="E29" s="668"/>
      <c r="F29" s="668"/>
      <c r="G29" s="668"/>
      <c r="H29" s="669"/>
    </row>
    <row r="30" spans="1:8" ht="46.7" customHeight="1" x14ac:dyDescent="0.25">
      <c r="A30" s="504" t="s">
        <v>493</v>
      </c>
      <c r="B30" s="505" t="s">
        <v>610</v>
      </c>
      <c r="C30" s="578" t="s">
        <v>611</v>
      </c>
      <c r="D30" s="505" t="s">
        <v>612</v>
      </c>
      <c r="E30" s="505" t="s">
        <v>7</v>
      </c>
      <c r="F30" s="505" t="s">
        <v>613</v>
      </c>
      <c r="G30" s="505" t="s">
        <v>614</v>
      </c>
      <c r="H30" s="506" t="s">
        <v>29</v>
      </c>
    </row>
    <row r="31" spans="1:8" ht="30.2" customHeight="1" x14ac:dyDescent="0.25">
      <c r="A31" s="362"/>
      <c r="B31" s="576" t="str">
        <f>IF($A31="","",(LOOKUP($A31,'Catchment Summary Table'!$A$4:$A$33,'Catchment Summary Table'!$B$4:$B$33)))</f>
        <v/>
      </c>
      <c r="C31" s="576" t="str">
        <f>IF($A31="","",(LOOKUP($A31,'Catchment Summary Table'!$A$4:$A$33,'Catchment Summary Table'!$C$4:$C$33)))</f>
        <v/>
      </c>
      <c r="D31" s="576" t="str">
        <f>IF($A31="","",(LOOKUP($A31,'Catchment Summary Table'!$A$4:$A$33,'Catchment Summary Table'!$D$4:$D$33)))</f>
        <v/>
      </c>
      <c r="E31" s="576" t="str">
        <f>IF($A31="","",(LOOKUP($A31,'Catchment Summary Table'!$A$4:$A$33,'Catchment Summary Table'!$E$4:$E$33)))</f>
        <v/>
      </c>
      <c r="F31" s="576" t="str">
        <f>IF($A31="","",(LOOKUP($A31,'Catchment Summary Table'!$A$4:$A$33,'Catchment Summary Table'!$F$4:$F$33)))</f>
        <v/>
      </c>
      <c r="G31" s="577" t="str">
        <f>IF(B31="","",IFERROR('Total WQv Calculation'!$B$4,""))</f>
        <v/>
      </c>
      <c r="H31" s="546" t="str">
        <f>IF($A31="","",(LOOKUP($A31,'Catchment Summary Table'!$A$4:$A$33,'Catchment Summary Table'!$G$4:$G$33)))</f>
        <v/>
      </c>
    </row>
    <row r="32" spans="1:8" s="520" customFormat="1" ht="30.2" customHeight="1" x14ac:dyDescent="0.25">
      <c r="A32" s="935" t="s">
        <v>549</v>
      </c>
      <c r="B32" s="936"/>
      <c r="C32" s="298"/>
      <c r="D32" s="274" t="str">
        <f>IF(ISERROR((C31-C32)/B31),"",(C31-C32)/B31)</f>
        <v/>
      </c>
      <c r="E32" s="299" t="str">
        <f>IF(ISERROR(D32*100*0.009+0.05),"",(D32*100*0.009+0.05))</f>
        <v/>
      </c>
      <c r="F32" s="275" t="str">
        <f>IF(ISERROR(E32*B31*G31/12*43560 ),"",(E32*B31*G31/12*43560 ))</f>
        <v/>
      </c>
      <c r="G32" s="744" t="s">
        <v>550</v>
      </c>
      <c r="H32" s="916"/>
    </row>
    <row r="33" spans="1:8" ht="30.2" customHeight="1" x14ac:dyDescent="0.25">
      <c r="A33" s="946" t="s">
        <v>545</v>
      </c>
      <c r="B33" s="947"/>
      <c r="C33" s="947"/>
      <c r="D33" s="947"/>
      <c r="E33" s="948"/>
      <c r="F33" s="265"/>
      <c r="G33" s="171" t="s">
        <v>207</v>
      </c>
      <c r="H33" s="633"/>
    </row>
    <row r="34" spans="1:8" ht="15" customHeight="1" x14ac:dyDescent="0.25">
      <c r="A34" s="940" t="str">
        <f>IF(C31&gt;5,"Drainage Area exceeds the maximum allowable unless soil infiltration rate exceeds 5 in/hr"," ")</f>
        <v>Drainage Area exceeds the maximum allowable unless soil infiltration rate exceeds 5 in/hr</v>
      </c>
      <c r="B34" s="941"/>
      <c r="C34" s="941"/>
      <c r="D34" s="941"/>
      <c r="E34" s="941"/>
      <c r="F34" s="941"/>
      <c r="G34" s="941"/>
      <c r="H34" s="942"/>
    </row>
    <row r="35" spans="1:8" x14ac:dyDescent="0.25">
      <c r="A35" s="937" t="s">
        <v>103</v>
      </c>
      <c r="B35" s="938"/>
      <c r="C35" s="938"/>
      <c r="D35" s="938"/>
      <c r="E35" s="938"/>
      <c r="F35" s="938"/>
      <c r="G35" s="938"/>
      <c r="H35" s="939"/>
    </row>
    <row r="36" spans="1:8" ht="15" customHeight="1" x14ac:dyDescent="0.25">
      <c r="A36" s="844" t="s">
        <v>316</v>
      </c>
      <c r="B36" s="844"/>
      <c r="C36" s="844"/>
      <c r="D36" s="104"/>
      <c r="E36" s="498" t="s">
        <v>317</v>
      </c>
      <c r="F36" s="912" t="str">
        <f>IF(D36="","",IF(D36&gt;=0.5,"Okay","Error, Infiltration rate is too low, practice is not appropriate"))</f>
        <v/>
      </c>
      <c r="G36" s="912"/>
      <c r="H36" s="912"/>
    </row>
    <row r="37" spans="1:8" ht="45.2" customHeight="1" x14ac:dyDescent="0.25">
      <c r="A37" s="844" t="s">
        <v>318</v>
      </c>
      <c r="B37" s="844"/>
      <c r="C37" s="844"/>
      <c r="D37" s="103"/>
      <c r="E37" s="498" t="s">
        <v>445</v>
      </c>
      <c r="F37" s="913" t="s">
        <v>448</v>
      </c>
      <c r="G37" s="913"/>
      <c r="H37" s="913"/>
    </row>
    <row r="38" spans="1:8" ht="15" customHeight="1" x14ac:dyDescent="0.25">
      <c r="A38" s="844" t="s">
        <v>446</v>
      </c>
      <c r="B38" s="844"/>
      <c r="C38" s="844"/>
      <c r="D38" s="514" t="str">
        <f>IF(ISERROR(D37*(F32+F33)/100),"",D37*(F32+F33)/100)</f>
        <v/>
      </c>
      <c r="E38" s="498" t="s">
        <v>207</v>
      </c>
      <c r="F38" s="723"/>
      <c r="G38" s="723"/>
      <c r="H38" s="723"/>
    </row>
    <row r="39" spans="1:8" ht="15" customHeight="1" x14ac:dyDescent="0.25">
      <c r="A39" s="844" t="s">
        <v>440</v>
      </c>
      <c r="B39" s="844"/>
      <c r="C39" s="844"/>
      <c r="D39" s="283"/>
      <c r="E39" s="498" t="s">
        <v>207</v>
      </c>
      <c r="F39" s="724" t="str">
        <f>IF(D39&lt;D38,"Inadequate Pretreatment Provided"," ")</f>
        <v xml:space="preserve"> </v>
      </c>
      <c r="G39" s="725"/>
      <c r="H39" s="726"/>
    </row>
    <row r="40" spans="1:8" ht="15" customHeight="1" x14ac:dyDescent="0.25">
      <c r="A40" s="844" t="s">
        <v>447</v>
      </c>
      <c r="B40" s="844"/>
      <c r="C40" s="844"/>
      <c r="D40" s="905"/>
      <c r="E40" s="944"/>
      <c r="F40" s="944"/>
      <c r="G40" s="945"/>
      <c r="H40" s="142"/>
    </row>
    <row r="41" spans="1:8" x14ac:dyDescent="0.25">
      <c r="A41" s="924" t="s">
        <v>104</v>
      </c>
      <c r="B41" s="925"/>
      <c r="C41" s="925"/>
      <c r="D41" s="925"/>
      <c r="E41" s="925"/>
      <c r="F41" s="925"/>
      <c r="G41" s="925"/>
      <c r="H41" s="926"/>
    </row>
    <row r="42" spans="1:8" ht="30" customHeight="1" x14ac:dyDescent="0.25">
      <c r="A42" s="510" t="s">
        <v>105</v>
      </c>
      <c r="B42" s="514">
        <f>SUM(F32,F33)</f>
        <v>0</v>
      </c>
      <c r="C42" s="516" t="s">
        <v>207</v>
      </c>
      <c r="D42" s="723" t="s">
        <v>1</v>
      </c>
      <c r="E42" s="723"/>
      <c r="F42" s="723"/>
      <c r="G42" s="723"/>
      <c r="H42" s="723"/>
    </row>
    <row r="43" spans="1:8" ht="30" x14ac:dyDescent="0.25">
      <c r="A43" s="510" t="s">
        <v>449</v>
      </c>
      <c r="B43" s="514">
        <f>IF(B45=0,0,B42/(B45))</f>
        <v>0</v>
      </c>
      <c r="C43" s="516" t="s">
        <v>210</v>
      </c>
      <c r="D43" s="814" t="s">
        <v>421</v>
      </c>
      <c r="E43" s="814"/>
      <c r="F43" s="814"/>
      <c r="G43" s="814"/>
      <c r="H43" s="814"/>
    </row>
    <row r="44" spans="1:8" ht="30" x14ac:dyDescent="0.25">
      <c r="A44" s="510" t="s">
        <v>450</v>
      </c>
      <c r="B44" s="283"/>
      <c r="C44" s="516" t="s">
        <v>210</v>
      </c>
      <c r="D44" s="859" t="str">
        <f>IF(B44&lt;B43,"Error, too small"," ")</f>
        <v xml:space="preserve"> </v>
      </c>
      <c r="E44" s="859"/>
      <c r="F44" s="859"/>
      <c r="G44" s="859"/>
      <c r="H44" s="859"/>
    </row>
    <row r="45" spans="1:8" ht="15" customHeight="1" x14ac:dyDescent="0.25">
      <c r="A45" s="510" t="s">
        <v>190</v>
      </c>
      <c r="B45" s="104"/>
      <c r="C45" s="516" t="s">
        <v>12</v>
      </c>
      <c r="D45" s="723"/>
      <c r="E45" s="723"/>
      <c r="F45" s="723"/>
      <c r="G45" s="723"/>
      <c r="H45" s="723"/>
    </row>
    <row r="46" spans="1:8" ht="30.2" customHeight="1" x14ac:dyDescent="0.25">
      <c r="A46" s="533" t="s">
        <v>309</v>
      </c>
      <c r="B46" s="261">
        <f>PRODUCT(B44,B45)</f>
        <v>0</v>
      </c>
      <c r="C46" s="516" t="s">
        <v>207</v>
      </c>
      <c r="D46" s="918" t="s">
        <v>310</v>
      </c>
      <c r="E46" s="918"/>
      <c r="F46" s="918"/>
      <c r="G46" s="918"/>
      <c r="H46" s="918"/>
    </row>
    <row r="47" spans="1:8" ht="15" customHeight="1" x14ac:dyDescent="0.25">
      <c r="A47" s="924" t="s">
        <v>88</v>
      </c>
      <c r="B47" s="925"/>
      <c r="C47" s="925"/>
      <c r="D47" s="925"/>
      <c r="E47" s="925"/>
      <c r="F47" s="925"/>
      <c r="G47" s="925"/>
      <c r="H47" s="926"/>
    </row>
    <row r="48" spans="1:8" ht="30.2" customHeight="1" x14ac:dyDescent="0.25">
      <c r="A48" s="515" t="s">
        <v>23</v>
      </c>
      <c r="B48" s="247">
        <f>IF(0.9*B46&gt;=((SUM(F32,F33))),(SUM(F32,F33)),B46*0.9)</f>
        <v>0</v>
      </c>
      <c r="C48" s="208" t="s">
        <v>249</v>
      </c>
      <c r="D48" s="943" t="s">
        <v>422</v>
      </c>
      <c r="E48" s="943"/>
      <c r="F48" s="943"/>
      <c r="G48" s="943"/>
      <c r="H48" s="943"/>
    </row>
    <row r="49" spans="1:8" ht="30.2" customHeight="1" x14ac:dyDescent="0.25">
      <c r="A49" s="525" t="s">
        <v>243</v>
      </c>
      <c r="B49" s="514" t="str">
        <f>IF(ISERROR((F32+F33)-B48),"",(F32+F33)-B48)</f>
        <v/>
      </c>
      <c r="C49" s="498" t="s">
        <v>207</v>
      </c>
      <c r="D49" s="814" t="s">
        <v>244</v>
      </c>
      <c r="E49" s="814"/>
      <c r="F49" s="814"/>
      <c r="G49" s="814"/>
      <c r="H49" s="814"/>
    </row>
    <row r="50" spans="1:8" ht="30.2" customHeight="1" x14ac:dyDescent="0.25">
      <c r="A50" s="525" t="s">
        <v>311</v>
      </c>
      <c r="B50" s="510" t="str">
        <f>IF(B46&gt;=(SUM(F32,F33)),"OK","Error")</f>
        <v>OK</v>
      </c>
      <c r="C50" s="510"/>
      <c r="D50" s="814" t="s">
        <v>418</v>
      </c>
      <c r="E50" s="814"/>
      <c r="F50" s="814"/>
      <c r="G50" s="814"/>
      <c r="H50" s="814"/>
    </row>
    <row r="51" spans="1:8" ht="30.2" customHeight="1" x14ac:dyDescent="0.25">
      <c r="A51" s="520"/>
      <c r="B51" s="501"/>
      <c r="C51" s="501"/>
      <c r="D51" s="518"/>
      <c r="E51" s="518"/>
      <c r="F51" s="518"/>
      <c r="G51" s="518"/>
      <c r="H51" s="518"/>
    </row>
    <row r="52" spans="1:8" ht="30.2" customHeight="1" x14ac:dyDescent="0.25">
      <c r="A52" s="520"/>
      <c r="B52" s="501"/>
      <c r="C52" s="501"/>
      <c r="D52" s="518"/>
      <c r="E52" s="518"/>
      <c r="F52" s="518"/>
      <c r="G52" s="518"/>
      <c r="H52" s="518"/>
    </row>
    <row r="56" spans="1:8" ht="30" x14ac:dyDescent="0.25">
      <c r="A56" s="561" t="s">
        <v>600</v>
      </c>
      <c r="B56" s="562" t="str">
        <f>IF('Total WQv Calculation'!$B$3="","",'Total WQv Calculation'!$B$3)</f>
        <v/>
      </c>
    </row>
    <row r="57" spans="1:8" ht="15" customHeight="1" x14ac:dyDescent="0.25">
      <c r="A57" s="667" t="s">
        <v>79</v>
      </c>
      <c r="B57" s="668"/>
      <c r="C57" s="668"/>
      <c r="D57" s="668"/>
      <c r="E57" s="668"/>
      <c r="F57" s="668"/>
      <c r="G57" s="668"/>
      <c r="H57" s="669"/>
    </row>
    <row r="58" spans="1:8" ht="46.7" customHeight="1" x14ac:dyDescent="0.25">
      <c r="A58" s="504" t="s">
        <v>493</v>
      </c>
      <c r="B58" s="505" t="s">
        <v>610</v>
      </c>
      <c r="C58" s="578" t="s">
        <v>611</v>
      </c>
      <c r="D58" s="505" t="s">
        <v>612</v>
      </c>
      <c r="E58" s="505" t="s">
        <v>7</v>
      </c>
      <c r="F58" s="505" t="s">
        <v>613</v>
      </c>
      <c r="G58" s="505" t="s">
        <v>614</v>
      </c>
      <c r="H58" s="506" t="s">
        <v>29</v>
      </c>
    </row>
    <row r="59" spans="1:8" ht="30.2" customHeight="1" x14ac:dyDescent="0.25">
      <c r="A59" s="362"/>
      <c r="B59" s="576" t="str">
        <f>IF($A59="","",(LOOKUP($A59,'Catchment Summary Table'!$A$4:$A$33,'Catchment Summary Table'!$B$4:$B$33)))</f>
        <v/>
      </c>
      <c r="C59" s="576" t="str">
        <f>IF($A59="","",(LOOKUP($A59,'Catchment Summary Table'!$A$4:$A$33,'Catchment Summary Table'!$C$4:$C$33)))</f>
        <v/>
      </c>
      <c r="D59" s="576" t="str">
        <f>IF($A59="","",(LOOKUP($A59,'Catchment Summary Table'!$A$4:$A$33,'Catchment Summary Table'!$D$4:$D$33)))</f>
        <v/>
      </c>
      <c r="E59" s="576" t="str">
        <f>IF($A59="","",(LOOKUP($A59,'Catchment Summary Table'!$A$4:$A$33,'Catchment Summary Table'!$E$4:$E$33)))</f>
        <v/>
      </c>
      <c r="F59" s="576" t="str">
        <f>IF($A59="","",(LOOKUP($A59,'Catchment Summary Table'!$A$4:$A$33,'Catchment Summary Table'!$F$4:$F$33)))</f>
        <v/>
      </c>
      <c r="G59" s="577" t="str">
        <f>IF(B59="","",IFERROR('Total WQv Calculation'!$B$4,""))</f>
        <v/>
      </c>
      <c r="H59" s="546" t="str">
        <f>IF($A59="","",(LOOKUP($A59,'Catchment Summary Table'!$A$4:$A$33,'Catchment Summary Table'!$G$4:$G$33)))</f>
        <v/>
      </c>
    </row>
    <row r="60" spans="1:8" ht="30.2" customHeight="1" x14ac:dyDescent="0.25">
      <c r="A60" s="935" t="s">
        <v>549</v>
      </c>
      <c r="B60" s="936"/>
      <c r="C60" s="298"/>
      <c r="D60" s="274" t="str">
        <f>IF(ISERROR((C59-C60)/B59),"",(C59-C60)/B59)</f>
        <v/>
      </c>
      <c r="E60" s="299" t="str">
        <f>IF(ISERROR(D60*100*0.009+0.05),"",(D60*100*0.009+0.05))</f>
        <v/>
      </c>
      <c r="F60" s="275" t="str">
        <f>IF(ISERROR(E60*B59*G59/12*43560 ),"",(E60*B59*G59/12*43560 ))</f>
        <v/>
      </c>
      <c r="G60" s="744" t="s">
        <v>550</v>
      </c>
      <c r="H60" s="916"/>
    </row>
    <row r="61" spans="1:8" ht="30.2" customHeight="1" x14ac:dyDescent="0.25">
      <c r="A61" s="946" t="s">
        <v>545</v>
      </c>
      <c r="B61" s="947"/>
      <c r="C61" s="947"/>
      <c r="D61" s="947"/>
      <c r="E61" s="948"/>
      <c r="F61" s="265"/>
      <c r="G61" s="171" t="s">
        <v>207</v>
      </c>
      <c r="H61" s="633"/>
    </row>
    <row r="62" spans="1:8" ht="15" customHeight="1" x14ac:dyDescent="0.25">
      <c r="A62" s="940" t="str">
        <f>IF(C59&gt;5,"Drainage Area exceeds the maximum allowable unless soil infiltration rate exceeds 5 in/hr"," ")</f>
        <v>Drainage Area exceeds the maximum allowable unless soil infiltration rate exceeds 5 in/hr</v>
      </c>
      <c r="B62" s="941"/>
      <c r="C62" s="941"/>
      <c r="D62" s="941"/>
      <c r="E62" s="941"/>
      <c r="F62" s="941"/>
      <c r="G62" s="941"/>
      <c r="H62" s="942"/>
    </row>
    <row r="63" spans="1:8" ht="15" customHeight="1" x14ac:dyDescent="0.25">
      <c r="A63" s="937" t="s">
        <v>103</v>
      </c>
      <c r="B63" s="938"/>
      <c r="C63" s="938"/>
      <c r="D63" s="938"/>
      <c r="E63" s="938"/>
      <c r="F63" s="938"/>
      <c r="G63" s="938"/>
      <c r="H63" s="939"/>
    </row>
    <row r="64" spans="1:8" ht="15" customHeight="1" x14ac:dyDescent="0.25">
      <c r="A64" s="844" t="s">
        <v>316</v>
      </c>
      <c r="B64" s="844"/>
      <c r="C64" s="844"/>
      <c r="D64" s="104"/>
      <c r="E64" s="498" t="s">
        <v>317</v>
      </c>
      <c r="F64" s="912" t="str">
        <f>IF(D64="","",IF(D64&gt;=0.5,"Okay","Error, Infiltration rate is too low, practice is not appropriate"))</f>
        <v/>
      </c>
      <c r="G64" s="912"/>
      <c r="H64" s="912"/>
    </row>
    <row r="65" spans="1:8" ht="45.2" customHeight="1" x14ac:dyDescent="0.25">
      <c r="A65" s="844" t="s">
        <v>318</v>
      </c>
      <c r="B65" s="844"/>
      <c r="C65" s="844"/>
      <c r="D65" s="103"/>
      <c r="E65" s="498" t="s">
        <v>445</v>
      </c>
      <c r="F65" s="913" t="s">
        <v>448</v>
      </c>
      <c r="G65" s="913"/>
      <c r="H65" s="913"/>
    </row>
    <row r="66" spans="1:8" ht="15" customHeight="1" x14ac:dyDescent="0.25">
      <c r="A66" s="844" t="s">
        <v>446</v>
      </c>
      <c r="B66" s="844"/>
      <c r="C66" s="844"/>
      <c r="D66" s="514" t="str">
        <f>IF(ISERROR(D65*(F60+F61)/100),"",D65*(F60+F61)/100)</f>
        <v/>
      </c>
      <c r="E66" s="498" t="s">
        <v>207</v>
      </c>
      <c r="F66" s="652"/>
      <c r="G66" s="899"/>
      <c r="H66" s="653"/>
    </row>
    <row r="67" spans="1:8" ht="15" customHeight="1" x14ac:dyDescent="0.25">
      <c r="A67" s="844" t="s">
        <v>440</v>
      </c>
      <c r="B67" s="844"/>
      <c r="C67" s="844"/>
      <c r="D67" s="283"/>
      <c r="E67" s="498" t="s">
        <v>207</v>
      </c>
      <c r="F67" s="724" t="str">
        <f>IF(D67&lt;D66,"Inadequate Pretreatment Provided"," ")</f>
        <v xml:space="preserve"> </v>
      </c>
      <c r="G67" s="725"/>
      <c r="H67" s="726"/>
    </row>
    <row r="68" spans="1:8" ht="15" customHeight="1" x14ac:dyDescent="0.25">
      <c r="A68" s="844" t="s">
        <v>447</v>
      </c>
      <c r="B68" s="844"/>
      <c r="C68" s="844"/>
      <c r="D68" s="905"/>
      <c r="E68" s="944"/>
      <c r="F68" s="944"/>
      <c r="G68" s="945"/>
      <c r="H68" s="142"/>
    </row>
    <row r="69" spans="1:8" x14ac:dyDescent="0.25">
      <c r="A69" s="924" t="s">
        <v>104</v>
      </c>
      <c r="B69" s="925"/>
      <c r="C69" s="925"/>
      <c r="D69" s="925"/>
      <c r="E69" s="925"/>
      <c r="F69" s="925"/>
      <c r="G69" s="925"/>
      <c r="H69" s="926"/>
    </row>
    <row r="70" spans="1:8" ht="30" customHeight="1" x14ac:dyDescent="0.25">
      <c r="A70" s="510" t="s">
        <v>105</v>
      </c>
      <c r="B70" s="514">
        <f>SUM(F60,F61)</f>
        <v>0</v>
      </c>
      <c r="C70" s="516" t="s">
        <v>207</v>
      </c>
      <c r="D70" s="723" t="s">
        <v>1</v>
      </c>
      <c r="E70" s="723"/>
      <c r="F70" s="723"/>
      <c r="G70" s="723"/>
      <c r="H70" s="723"/>
    </row>
    <row r="71" spans="1:8" ht="30" x14ac:dyDescent="0.25">
      <c r="A71" s="510" t="s">
        <v>449</v>
      </c>
      <c r="B71" s="514">
        <f>IF(B73=0,0,B70/(B73))</f>
        <v>0</v>
      </c>
      <c r="C71" s="516" t="s">
        <v>210</v>
      </c>
      <c r="D71" s="814" t="s">
        <v>421</v>
      </c>
      <c r="E71" s="814"/>
      <c r="F71" s="814"/>
      <c r="G71" s="814"/>
      <c r="H71" s="814"/>
    </row>
    <row r="72" spans="1:8" ht="30" x14ac:dyDescent="0.25">
      <c r="A72" s="510" t="s">
        <v>450</v>
      </c>
      <c r="B72" s="283"/>
      <c r="C72" s="516" t="s">
        <v>210</v>
      </c>
      <c r="D72" s="859" t="str">
        <f>IF(B72&lt;B71,"Error, too small"," ")</f>
        <v xml:space="preserve"> </v>
      </c>
      <c r="E72" s="859"/>
      <c r="F72" s="859"/>
      <c r="G72" s="859"/>
      <c r="H72" s="859"/>
    </row>
    <row r="73" spans="1:8" ht="15" customHeight="1" x14ac:dyDescent="0.25">
      <c r="A73" s="510" t="s">
        <v>190</v>
      </c>
      <c r="B73" s="104"/>
      <c r="C73" s="516" t="s">
        <v>12</v>
      </c>
      <c r="D73" s="723"/>
      <c r="E73" s="723"/>
      <c r="F73" s="723"/>
      <c r="G73" s="723"/>
      <c r="H73" s="723"/>
    </row>
    <row r="74" spans="1:8" ht="30.2" customHeight="1" x14ac:dyDescent="0.25">
      <c r="A74" s="533" t="s">
        <v>309</v>
      </c>
      <c r="B74" s="261">
        <f>PRODUCT(B72,B73)</f>
        <v>0</v>
      </c>
      <c r="C74" s="516" t="s">
        <v>207</v>
      </c>
      <c r="D74" s="918" t="s">
        <v>310</v>
      </c>
      <c r="E74" s="918"/>
      <c r="F74" s="918"/>
      <c r="G74" s="918"/>
      <c r="H74" s="918"/>
    </row>
    <row r="75" spans="1:8" ht="15" customHeight="1" x14ac:dyDescent="0.25">
      <c r="A75" s="924" t="s">
        <v>88</v>
      </c>
      <c r="B75" s="925"/>
      <c r="C75" s="925"/>
      <c r="D75" s="925"/>
      <c r="E75" s="925"/>
      <c r="F75" s="925"/>
      <c r="G75" s="925"/>
      <c r="H75" s="926"/>
    </row>
    <row r="76" spans="1:8" ht="30.2" customHeight="1" x14ac:dyDescent="0.25">
      <c r="A76" s="515" t="s">
        <v>23</v>
      </c>
      <c r="B76" s="247">
        <f>IF(0.9*B74&gt;=((SUM(F60,F61))),(SUM(F60,F61)),B74*0.9)</f>
        <v>0</v>
      </c>
      <c r="C76" s="208" t="s">
        <v>249</v>
      </c>
      <c r="D76" s="943" t="s">
        <v>422</v>
      </c>
      <c r="E76" s="943"/>
      <c r="F76" s="943"/>
      <c r="G76" s="943"/>
      <c r="H76" s="943"/>
    </row>
    <row r="77" spans="1:8" ht="30.2" customHeight="1" x14ac:dyDescent="0.25">
      <c r="A77" s="525" t="s">
        <v>243</v>
      </c>
      <c r="B77" s="514" t="str">
        <f>IF(ISERROR((F60+F61)-B76),"",(F60+F61)-B76)</f>
        <v/>
      </c>
      <c r="C77" s="498" t="s">
        <v>207</v>
      </c>
      <c r="D77" s="814" t="s">
        <v>244</v>
      </c>
      <c r="E77" s="814"/>
      <c r="F77" s="814"/>
      <c r="G77" s="814"/>
      <c r="H77" s="814"/>
    </row>
    <row r="78" spans="1:8" ht="30.2" customHeight="1" x14ac:dyDescent="0.25">
      <c r="A78" s="525" t="s">
        <v>311</v>
      </c>
      <c r="B78" s="510" t="str">
        <f>IF(B74&gt;=(SUM(F60,F61)),"OK","Error")</f>
        <v>OK</v>
      </c>
      <c r="C78" s="510"/>
      <c r="D78" s="814" t="s">
        <v>418</v>
      </c>
      <c r="E78" s="814"/>
      <c r="F78" s="814"/>
      <c r="G78" s="814"/>
      <c r="H78" s="814"/>
    </row>
    <row r="86" spans="1:8" ht="30" x14ac:dyDescent="0.25">
      <c r="A86" s="561" t="s">
        <v>600</v>
      </c>
      <c r="B86" s="562" t="str">
        <f>IF('Total WQv Calculation'!$B$3="","",'Total WQv Calculation'!$B$3)</f>
        <v/>
      </c>
    </row>
    <row r="87" spans="1:8" ht="15" customHeight="1" x14ac:dyDescent="0.25">
      <c r="A87" s="667" t="s">
        <v>79</v>
      </c>
      <c r="B87" s="668"/>
      <c r="C87" s="668"/>
      <c r="D87" s="668"/>
      <c r="E87" s="668"/>
      <c r="F87" s="668"/>
      <c r="G87" s="668"/>
      <c r="H87" s="669"/>
    </row>
    <row r="88" spans="1:8" ht="46.7" customHeight="1" x14ac:dyDescent="0.25">
      <c r="A88" s="504" t="s">
        <v>493</v>
      </c>
      <c r="B88" s="505" t="s">
        <v>610</v>
      </c>
      <c r="C88" s="578" t="s">
        <v>611</v>
      </c>
      <c r="D88" s="505" t="s">
        <v>612</v>
      </c>
      <c r="E88" s="505" t="s">
        <v>7</v>
      </c>
      <c r="F88" s="505" t="s">
        <v>613</v>
      </c>
      <c r="G88" s="505" t="s">
        <v>614</v>
      </c>
      <c r="H88" s="506" t="s">
        <v>29</v>
      </c>
    </row>
    <row r="89" spans="1:8" ht="30.2" customHeight="1" x14ac:dyDescent="0.25">
      <c r="A89" s="362"/>
      <c r="B89" s="576" t="str">
        <f>IF($A89="","",(LOOKUP($A89,'Catchment Summary Table'!$A$4:$A$33,'Catchment Summary Table'!$B$4:$B$33)))</f>
        <v/>
      </c>
      <c r="C89" s="576" t="str">
        <f>IF($A89="","",(LOOKUP($A89,'Catchment Summary Table'!$A$4:$A$33,'Catchment Summary Table'!$C$4:$C$33)))</f>
        <v/>
      </c>
      <c r="D89" s="576" t="str">
        <f>IF($A89="","",(LOOKUP($A89,'Catchment Summary Table'!$A$4:$A$33,'Catchment Summary Table'!$D$4:$D$33)))</f>
        <v/>
      </c>
      <c r="E89" s="576" t="str">
        <f>IF($A89="","",(LOOKUP($A89,'Catchment Summary Table'!$A$4:$A$33,'Catchment Summary Table'!$E$4:$E$33)))</f>
        <v/>
      </c>
      <c r="F89" s="576" t="str">
        <f>IF($A89="","",(LOOKUP($A89,'Catchment Summary Table'!$A$4:$A$33,'Catchment Summary Table'!$F$4:$F$33)))</f>
        <v/>
      </c>
      <c r="G89" s="577" t="str">
        <f>IF(B89="","",IFERROR('Total WQv Calculation'!$B$4,""))</f>
        <v/>
      </c>
      <c r="H89" s="546" t="str">
        <f>IF($A89="","",(LOOKUP($A89,'Catchment Summary Table'!$A$4:$A$33,'Catchment Summary Table'!$G$4:$G$33)))</f>
        <v/>
      </c>
    </row>
    <row r="90" spans="1:8" s="520" customFormat="1" ht="30.2" customHeight="1" x14ac:dyDescent="0.25">
      <c r="A90" s="935" t="s">
        <v>549</v>
      </c>
      <c r="B90" s="936"/>
      <c r="C90" s="298"/>
      <c r="D90" s="274" t="str">
        <f>IF(ISERROR((C89-C90)/B89),"",(C89-C90)/B89)</f>
        <v/>
      </c>
      <c r="E90" s="299" t="str">
        <f>IF(ISERROR(D90*100*0.009+0.05),"",(D90*100*0.009+0.05))</f>
        <v/>
      </c>
      <c r="F90" s="275" t="str">
        <f>IF(ISERROR(E90*B89*G89/12*43560 ),"",(E90*B89*G89/12*43560 ))</f>
        <v/>
      </c>
      <c r="G90" s="744" t="s">
        <v>550</v>
      </c>
      <c r="H90" s="916"/>
    </row>
    <row r="91" spans="1:8" ht="30.2" customHeight="1" x14ac:dyDescent="0.25">
      <c r="A91" s="946" t="s">
        <v>545</v>
      </c>
      <c r="B91" s="947"/>
      <c r="C91" s="947"/>
      <c r="D91" s="947"/>
      <c r="E91" s="948"/>
      <c r="F91" s="265"/>
      <c r="G91" s="171" t="s">
        <v>207</v>
      </c>
      <c r="H91" s="633"/>
    </row>
    <row r="92" spans="1:8" ht="15" customHeight="1" x14ac:dyDescent="0.25">
      <c r="A92" s="940" t="str">
        <f>IF(C89&gt;5,"Drainage Area exceeds the maximum allowable unless soil infiltration rate exceeds 5 in/hr"," ")</f>
        <v>Drainage Area exceeds the maximum allowable unless soil infiltration rate exceeds 5 in/hr</v>
      </c>
      <c r="B92" s="941"/>
      <c r="C92" s="941"/>
      <c r="D92" s="941"/>
      <c r="E92" s="941"/>
      <c r="F92" s="941"/>
      <c r="G92" s="941"/>
      <c r="H92" s="942"/>
    </row>
    <row r="93" spans="1:8" ht="15" customHeight="1" x14ac:dyDescent="0.25">
      <c r="A93" s="937" t="s">
        <v>103</v>
      </c>
      <c r="B93" s="938"/>
      <c r="C93" s="938"/>
      <c r="D93" s="938"/>
      <c r="E93" s="938"/>
      <c r="F93" s="938"/>
      <c r="G93" s="938"/>
      <c r="H93" s="939"/>
    </row>
    <row r="94" spans="1:8" ht="15" customHeight="1" x14ac:dyDescent="0.25">
      <c r="A94" s="844" t="s">
        <v>316</v>
      </c>
      <c r="B94" s="844"/>
      <c r="C94" s="844"/>
      <c r="D94" s="104"/>
      <c r="E94" s="498" t="s">
        <v>317</v>
      </c>
      <c r="F94" s="912" t="str">
        <f>IF(D94="","",IF(D94&gt;=0.5,"Okay","Error, Infiltration rate is too low, practice is not appropriate"))</f>
        <v/>
      </c>
      <c r="G94" s="912"/>
      <c r="H94" s="912"/>
    </row>
    <row r="95" spans="1:8" ht="45.2" customHeight="1" x14ac:dyDescent="0.25">
      <c r="A95" s="844" t="s">
        <v>318</v>
      </c>
      <c r="B95" s="844"/>
      <c r="C95" s="844"/>
      <c r="D95" s="103"/>
      <c r="E95" s="498" t="s">
        <v>445</v>
      </c>
      <c r="F95" s="913" t="s">
        <v>448</v>
      </c>
      <c r="G95" s="913"/>
      <c r="H95" s="913"/>
    </row>
    <row r="96" spans="1:8" ht="15" customHeight="1" x14ac:dyDescent="0.25">
      <c r="A96" s="844" t="s">
        <v>446</v>
      </c>
      <c r="B96" s="844"/>
      <c r="C96" s="844"/>
      <c r="D96" s="514" t="str">
        <f>IF(ISERROR(D95*(F90+F91)/100),"",D95*(F90+F91)/100)</f>
        <v/>
      </c>
      <c r="E96" s="498" t="s">
        <v>207</v>
      </c>
      <c r="F96" s="723"/>
      <c r="G96" s="723"/>
      <c r="H96" s="723"/>
    </row>
    <row r="97" spans="1:8" ht="15" customHeight="1" x14ac:dyDescent="0.25">
      <c r="A97" s="844" t="s">
        <v>440</v>
      </c>
      <c r="B97" s="844"/>
      <c r="C97" s="844"/>
      <c r="D97" s="283"/>
      <c r="E97" s="498" t="s">
        <v>207</v>
      </c>
      <c r="F97" s="724" t="str">
        <f>IF(D97&lt;D96,"Inadequate Pretreatment Provided"," ")</f>
        <v xml:space="preserve"> </v>
      </c>
      <c r="G97" s="725"/>
      <c r="H97" s="726"/>
    </row>
    <row r="98" spans="1:8" ht="15" customHeight="1" x14ac:dyDescent="0.25">
      <c r="A98" s="844" t="s">
        <v>447</v>
      </c>
      <c r="B98" s="844"/>
      <c r="C98" s="844"/>
      <c r="D98" s="905"/>
      <c r="E98" s="944"/>
      <c r="F98" s="944"/>
      <c r="G98" s="945"/>
      <c r="H98" s="142"/>
    </row>
    <row r="99" spans="1:8" x14ac:dyDescent="0.25">
      <c r="A99" s="924" t="s">
        <v>104</v>
      </c>
      <c r="B99" s="925"/>
      <c r="C99" s="925"/>
      <c r="D99" s="925"/>
      <c r="E99" s="925"/>
      <c r="F99" s="925"/>
      <c r="G99" s="925"/>
      <c r="H99" s="926"/>
    </row>
    <row r="100" spans="1:8" ht="30.2" customHeight="1" x14ac:dyDescent="0.25">
      <c r="A100" s="510" t="s">
        <v>105</v>
      </c>
      <c r="B100" s="514">
        <f>SUM(F90,F91)</f>
        <v>0</v>
      </c>
      <c r="C100" s="516" t="s">
        <v>207</v>
      </c>
      <c r="D100" s="723" t="s">
        <v>1</v>
      </c>
      <c r="E100" s="723"/>
      <c r="F100" s="723"/>
      <c r="G100" s="723"/>
      <c r="H100" s="723"/>
    </row>
    <row r="101" spans="1:8" ht="30.2" customHeight="1" x14ac:dyDescent="0.25">
      <c r="A101" s="510" t="s">
        <v>449</v>
      </c>
      <c r="B101" s="514">
        <f>IF(B103=0,0,B100/(B103))</f>
        <v>0</v>
      </c>
      <c r="C101" s="516" t="s">
        <v>210</v>
      </c>
      <c r="D101" s="814" t="s">
        <v>421</v>
      </c>
      <c r="E101" s="814"/>
      <c r="F101" s="814"/>
      <c r="G101" s="814"/>
      <c r="H101" s="814"/>
    </row>
    <row r="102" spans="1:8" ht="30.2" customHeight="1" x14ac:dyDescent="0.25">
      <c r="A102" s="510" t="s">
        <v>450</v>
      </c>
      <c r="B102" s="283"/>
      <c r="C102" s="516" t="s">
        <v>210</v>
      </c>
      <c r="D102" s="859" t="str">
        <f>IF(B102&lt;B101,"Error, too small"," ")</f>
        <v xml:space="preserve"> </v>
      </c>
      <c r="E102" s="859"/>
      <c r="F102" s="859"/>
      <c r="G102" s="859"/>
      <c r="H102" s="859"/>
    </row>
    <row r="103" spans="1:8" ht="15" customHeight="1" x14ac:dyDescent="0.25">
      <c r="A103" s="510" t="s">
        <v>190</v>
      </c>
      <c r="B103" s="104"/>
      <c r="C103" s="516" t="s">
        <v>12</v>
      </c>
      <c r="D103" s="723"/>
      <c r="E103" s="723"/>
      <c r="F103" s="723"/>
      <c r="G103" s="723"/>
      <c r="H103" s="723"/>
    </row>
    <row r="104" spans="1:8" ht="30.2" customHeight="1" x14ac:dyDescent="0.25">
      <c r="A104" s="533" t="s">
        <v>309</v>
      </c>
      <c r="B104" s="261">
        <f>PRODUCT(B102,B103)</f>
        <v>0</v>
      </c>
      <c r="C104" s="516" t="s">
        <v>207</v>
      </c>
      <c r="D104" s="918" t="s">
        <v>310</v>
      </c>
      <c r="E104" s="918"/>
      <c r="F104" s="918"/>
      <c r="G104" s="918"/>
      <c r="H104" s="918"/>
    </row>
    <row r="105" spans="1:8" ht="15" customHeight="1" x14ac:dyDescent="0.25">
      <c r="A105" s="924" t="s">
        <v>88</v>
      </c>
      <c r="B105" s="925"/>
      <c r="C105" s="925"/>
      <c r="D105" s="925"/>
      <c r="E105" s="925"/>
      <c r="F105" s="925"/>
      <c r="G105" s="925"/>
      <c r="H105" s="926"/>
    </row>
    <row r="106" spans="1:8" ht="30.2" customHeight="1" x14ac:dyDescent="0.25">
      <c r="A106" s="515" t="s">
        <v>23</v>
      </c>
      <c r="B106" s="247">
        <f>IF(0.9*B104&gt;=((SUM(F90,F91))),(SUM(F90,F91)),B104*0.9)</f>
        <v>0</v>
      </c>
      <c r="C106" s="208" t="s">
        <v>249</v>
      </c>
      <c r="D106" s="943" t="s">
        <v>422</v>
      </c>
      <c r="E106" s="943"/>
      <c r="F106" s="943"/>
      <c r="G106" s="943"/>
      <c r="H106" s="943"/>
    </row>
    <row r="107" spans="1:8" ht="30.2" customHeight="1" x14ac:dyDescent="0.25">
      <c r="A107" s="525" t="s">
        <v>243</v>
      </c>
      <c r="B107" s="514" t="str">
        <f>IF(ISERROR((F90+F91)-B106),"",(F90+F91)-B106)</f>
        <v/>
      </c>
      <c r="C107" s="498" t="s">
        <v>207</v>
      </c>
      <c r="D107" s="949" t="s">
        <v>244</v>
      </c>
      <c r="E107" s="950"/>
      <c r="F107" s="950"/>
      <c r="G107" s="950"/>
      <c r="H107" s="951"/>
    </row>
    <row r="108" spans="1:8" ht="30.2" customHeight="1" x14ac:dyDescent="0.25">
      <c r="A108" s="525" t="s">
        <v>311</v>
      </c>
      <c r="B108" s="514" t="str">
        <f>IF(B104&gt;=(SUM(F90,F91)),"OK","Error")</f>
        <v>OK</v>
      </c>
      <c r="C108" s="510"/>
      <c r="D108" s="814" t="s">
        <v>418</v>
      </c>
      <c r="E108" s="814"/>
      <c r="F108" s="814"/>
      <c r="G108" s="814"/>
      <c r="H108" s="814"/>
    </row>
    <row r="117" spans="1:4" ht="15" customHeight="1" x14ac:dyDescent="0.25">
      <c r="A117" s="782" t="s">
        <v>517</v>
      </c>
      <c r="B117" s="782"/>
      <c r="C117" s="782"/>
      <c r="D117" s="315">
        <f>SUM(B21,B48,B76,B106)</f>
        <v>0</v>
      </c>
    </row>
    <row r="118" spans="1:4" ht="15" customHeight="1" x14ac:dyDescent="0.25">
      <c r="A118" s="782" t="s">
        <v>5</v>
      </c>
      <c r="B118" s="782"/>
      <c r="C118" s="782"/>
      <c r="D118" s="315">
        <f>SUM(B4,B31,B59,B89)</f>
        <v>0</v>
      </c>
    </row>
    <row r="119" spans="1:4" ht="15" customHeight="1" x14ac:dyDescent="0.25">
      <c r="A119" s="782" t="s">
        <v>521</v>
      </c>
      <c r="B119" s="782"/>
      <c r="C119" s="782"/>
      <c r="D119" s="315">
        <f>SUM(IFERROR(C4-C5,0),IFERROR(C31-C32,0),IFERROR(C59-C60,0),IFERROR(C89-C90,0))</f>
        <v>0</v>
      </c>
    </row>
    <row r="120" spans="1:4" ht="15" customHeight="1" x14ac:dyDescent="0.25">
      <c r="A120" s="782" t="s">
        <v>300</v>
      </c>
      <c r="B120" s="782"/>
      <c r="C120" s="782"/>
      <c r="D120" s="315">
        <f>SUM(B22,B49,B77,B107)</f>
        <v>0</v>
      </c>
    </row>
    <row r="121" spans="1:4" ht="15" customHeight="1" x14ac:dyDescent="0.25">
      <c r="A121" s="783" t="s">
        <v>553</v>
      </c>
      <c r="B121" s="783"/>
      <c r="C121" s="783"/>
      <c r="D121" s="315">
        <f>SUM(C5,C32,C60,C90)</f>
        <v>0</v>
      </c>
    </row>
  </sheetData>
  <sheetProtection password="C7D7" sheet="1" objects="1" scenarios="1" formatColumns="0" formatRows="0"/>
  <mergeCells count="109">
    <mergeCell ref="A121:C121"/>
    <mergeCell ref="D108:H108"/>
    <mergeCell ref="G90:H90"/>
    <mergeCell ref="A91:E91"/>
    <mergeCell ref="A93:H93"/>
    <mergeCell ref="F97:H97"/>
    <mergeCell ref="A98:C98"/>
    <mergeCell ref="D98:G98"/>
    <mergeCell ref="A97:C97"/>
    <mergeCell ref="D106:H106"/>
    <mergeCell ref="D107:H107"/>
    <mergeCell ref="D100:H100"/>
    <mergeCell ref="D101:H101"/>
    <mergeCell ref="D102:H102"/>
    <mergeCell ref="D103:H103"/>
    <mergeCell ref="D104:H104"/>
    <mergeCell ref="A105:H105"/>
    <mergeCell ref="A67:C67"/>
    <mergeCell ref="F67:H67"/>
    <mergeCell ref="A68:C68"/>
    <mergeCell ref="D68:G68"/>
    <mergeCell ref="A69:H69"/>
    <mergeCell ref="A117:C117"/>
    <mergeCell ref="A118:C118"/>
    <mergeCell ref="A119:C119"/>
    <mergeCell ref="A120:C120"/>
    <mergeCell ref="D43:H43"/>
    <mergeCell ref="D44:H44"/>
    <mergeCell ref="D45:H45"/>
    <mergeCell ref="D50:H50"/>
    <mergeCell ref="A60:B60"/>
    <mergeCell ref="G60:H60"/>
    <mergeCell ref="A61:E61"/>
    <mergeCell ref="A63:H63"/>
    <mergeCell ref="A62:H62"/>
    <mergeCell ref="A64:C64"/>
    <mergeCell ref="F64:H64"/>
    <mergeCell ref="A65:C65"/>
    <mergeCell ref="F65:H65"/>
    <mergeCell ref="D48:H48"/>
    <mergeCell ref="D49:H49"/>
    <mergeCell ref="A57:H57"/>
    <mergeCell ref="A99:H99"/>
    <mergeCell ref="F94:H94"/>
    <mergeCell ref="D76:H76"/>
    <mergeCell ref="D77:H77"/>
    <mergeCell ref="A87:H87"/>
    <mergeCell ref="A92:H92"/>
    <mergeCell ref="A94:C94"/>
    <mergeCell ref="D74:H74"/>
    <mergeCell ref="A75:H75"/>
    <mergeCell ref="D78:H78"/>
    <mergeCell ref="A90:B90"/>
    <mergeCell ref="A95:C95"/>
    <mergeCell ref="F95:H95"/>
    <mergeCell ref="A96:C96"/>
    <mergeCell ref="F96:H96"/>
    <mergeCell ref="A66:C66"/>
    <mergeCell ref="F66:H66"/>
    <mergeCell ref="A41:H41"/>
    <mergeCell ref="D46:H46"/>
    <mergeCell ref="A47:H47"/>
    <mergeCell ref="D70:H70"/>
    <mergeCell ref="D71:H71"/>
    <mergeCell ref="D72:H72"/>
    <mergeCell ref="D73:H73"/>
    <mergeCell ref="A29:H29"/>
    <mergeCell ref="A34:H34"/>
    <mergeCell ref="A32:B32"/>
    <mergeCell ref="G32:H32"/>
    <mergeCell ref="A33:E33"/>
    <mergeCell ref="A35:H35"/>
    <mergeCell ref="A39:C39"/>
    <mergeCell ref="A36:C36"/>
    <mergeCell ref="F36:H36"/>
    <mergeCell ref="A37:C37"/>
    <mergeCell ref="F37:H37"/>
    <mergeCell ref="A38:C38"/>
    <mergeCell ref="F38:H38"/>
    <mergeCell ref="F39:H39"/>
    <mergeCell ref="A40:C40"/>
    <mergeCell ref="D40:G40"/>
    <mergeCell ref="D42:H42"/>
    <mergeCell ref="D21:H21"/>
    <mergeCell ref="D23:H23"/>
    <mergeCell ref="D22:H22"/>
    <mergeCell ref="D19:H19"/>
    <mergeCell ref="A20:H20"/>
    <mergeCell ref="D13:G13"/>
    <mergeCell ref="A6:E6"/>
    <mergeCell ref="D17:H17"/>
    <mergeCell ref="D16:H16"/>
    <mergeCell ref="D18:H18"/>
    <mergeCell ref="A5:B5"/>
    <mergeCell ref="G5:H5"/>
    <mergeCell ref="D15:H15"/>
    <mergeCell ref="A2:H2"/>
    <mergeCell ref="A8:H8"/>
    <mergeCell ref="A7:H7"/>
    <mergeCell ref="A14:H14"/>
    <mergeCell ref="A9:C9"/>
    <mergeCell ref="A10:C10"/>
    <mergeCell ref="A11:C11"/>
    <mergeCell ref="A12:C12"/>
    <mergeCell ref="A13:C13"/>
    <mergeCell ref="F9:H9"/>
    <mergeCell ref="F10:H10"/>
    <mergeCell ref="F11:H11"/>
    <mergeCell ref="F12:H12"/>
  </mergeCells>
  <dataValidations count="2">
    <dataValidation type="list" showInputMessage="1" showErrorMessage="1" promptTitle="Choose Area" sqref="A89 A59 A4 A31">
      <formula1>CatchNo</formula1>
    </dataValidation>
    <dataValidation type="list" allowBlank="1" showInputMessage="1" showErrorMessage="1" sqref="D98 D68 D13 D40">
      <formula1>InfiltrationBasin</formula1>
    </dataValidation>
  </dataValidations>
  <pageMargins left="0.7" right="0.7" top="0.75" bottom="0.75" header="0.3" footer="0.3"/>
  <pageSetup orientation="portrait" r:id="rId1"/>
  <headerFooter>
    <oddHeader>&amp;C&amp;18Infiltration Basin Worksheet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136"/>
  <sheetViews>
    <sheetView view="pageLayout" zoomScaleNormal="100" workbookViewId="0">
      <selection activeCell="A9" sqref="A9"/>
    </sheetView>
  </sheetViews>
  <sheetFormatPr defaultColWidth="9.140625" defaultRowHeight="15" x14ac:dyDescent="0.25"/>
  <cols>
    <col min="1" max="1" width="12.7109375" style="503" customWidth="1"/>
    <col min="2" max="2" width="11.140625" style="503" customWidth="1"/>
    <col min="3" max="4" width="10.7109375" style="503" customWidth="1"/>
    <col min="5" max="6" width="7.5703125" style="503" customWidth="1"/>
    <col min="7" max="7" width="12.140625" style="503" customWidth="1"/>
    <col min="8" max="8" width="17.85546875" style="503" customWidth="1"/>
    <col min="9" max="9" width="21.42578125" style="503" bestFit="1" customWidth="1"/>
    <col min="10" max="10" width="6.42578125" style="503" customWidth="1"/>
    <col min="11" max="14" width="9.140625" style="503" hidden="1" customWidth="1"/>
    <col min="15" max="16384" width="9.140625" style="503"/>
  </cols>
  <sheetData>
    <row r="1" spans="1:14" x14ac:dyDescent="0.25">
      <c r="A1" s="967" t="s">
        <v>524</v>
      </c>
      <c r="B1" s="956"/>
      <c r="C1" s="956"/>
      <c r="D1" s="956"/>
      <c r="E1" s="956"/>
      <c r="F1" s="956"/>
      <c r="G1" s="956"/>
      <c r="H1" s="956"/>
      <c r="I1" s="503" t="s">
        <v>516</v>
      </c>
      <c r="J1" s="311">
        <f>SUM(D25,D59,D96,D133)</f>
        <v>0</v>
      </c>
    </row>
    <row r="2" spans="1:14" x14ac:dyDescent="0.25">
      <c r="A2" s="956" t="s">
        <v>163</v>
      </c>
      <c r="B2" s="956"/>
      <c r="C2" s="956"/>
      <c r="D2" s="956"/>
      <c r="E2" s="956"/>
      <c r="F2" s="956"/>
      <c r="G2" s="956"/>
      <c r="H2" s="956"/>
      <c r="I2" s="503" t="s">
        <v>5</v>
      </c>
      <c r="J2" s="311">
        <f>SUM(B9,B43,B80,B117)</f>
        <v>0</v>
      </c>
    </row>
    <row r="3" spans="1:14" x14ac:dyDescent="0.25">
      <c r="A3" s="956" t="s">
        <v>164</v>
      </c>
      <c r="B3" s="956"/>
      <c r="C3" s="956"/>
      <c r="D3" s="956"/>
      <c r="E3" s="956"/>
      <c r="F3" s="956"/>
      <c r="G3" s="956"/>
      <c r="H3" s="956"/>
      <c r="I3" s="503" t="s">
        <v>521</v>
      </c>
      <c r="J3" s="315">
        <f>SUM(IFERROR(C9-C10,0),IFERROR(C43-C44,0),IFERROR(C80-C81,0),IFERROR(C117-C118,0))</f>
        <v>0</v>
      </c>
      <c r="K3" s="315">
        <f>IF(ISERROR((C9-C10)),0,(C9-C10))</f>
        <v>0</v>
      </c>
      <c r="L3" s="315">
        <f>IF(ISERROR((C43-C44)),0,(C43-C44))</f>
        <v>0</v>
      </c>
      <c r="M3" s="315">
        <f>IF(ISERROR((C80-C81)),0,(C80-C81))</f>
        <v>0</v>
      </c>
      <c r="N3" s="315">
        <f>IF(ISERROR((C117-C118)),0,(C117-C118))</f>
        <v>0</v>
      </c>
    </row>
    <row r="4" spans="1:14" x14ac:dyDescent="0.25">
      <c r="A4" s="956" t="s">
        <v>165</v>
      </c>
      <c r="B4" s="956"/>
      <c r="C4" s="956"/>
      <c r="D4" s="956"/>
      <c r="E4" s="956"/>
      <c r="F4" s="956"/>
      <c r="G4" s="956"/>
      <c r="H4" s="956"/>
      <c r="I4" s="503" t="s">
        <v>300</v>
      </c>
      <c r="J4" s="311">
        <f>SUM(D26,D60,D97,D134)</f>
        <v>0</v>
      </c>
    </row>
    <row r="5" spans="1:14" ht="25.5" x14ac:dyDescent="0.25">
      <c r="A5" s="956"/>
      <c r="B5" s="956"/>
      <c r="C5" s="956"/>
      <c r="D5" s="956"/>
      <c r="E5" s="956"/>
      <c r="F5" s="956"/>
      <c r="G5" s="956"/>
      <c r="H5" s="956"/>
      <c r="I5" s="143" t="s">
        <v>553</v>
      </c>
      <c r="J5" s="315">
        <f>SUM(C10,C44,C81,C118)</f>
        <v>0</v>
      </c>
    </row>
    <row r="6" spans="1:14" ht="15" customHeight="1" x14ac:dyDescent="0.25">
      <c r="A6" s="561" t="s">
        <v>600</v>
      </c>
      <c r="B6" s="562" t="str">
        <f>IF('Total WQv Calculation'!$B$3="","",'Total WQv Calculation'!$B$3)</f>
        <v/>
      </c>
      <c r="C6" s="617"/>
      <c r="D6" s="617"/>
      <c r="E6" s="617"/>
      <c r="F6" s="617"/>
      <c r="G6" s="617"/>
      <c r="H6" s="617"/>
      <c r="J6" s="316"/>
    </row>
    <row r="7" spans="1:14" x14ac:dyDescent="0.25">
      <c r="A7" s="667" t="s">
        <v>79</v>
      </c>
      <c r="B7" s="668"/>
      <c r="C7" s="668"/>
      <c r="D7" s="668"/>
      <c r="E7" s="668"/>
      <c r="F7" s="668"/>
      <c r="G7" s="668"/>
      <c r="H7" s="669"/>
      <c r="J7" s="316"/>
    </row>
    <row r="8" spans="1:14" ht="46.7" customHeight="1" x14ac:dyDescent="0.25">
      <c r="A8" s="504" t="s">
        <v>493</v>
      </c>
      <c r="B8" s="505" t="s">
        <v>610</v>
      </c>
      <c r="C8" s="578" t="s">
        <v>611</v>
      </c>
      <c r="D8" s="505" t="s">
        <v>612</v>
      </c>
      <c r="E8" s="505" t="s">
        <v>7</v>
      </c>
      <c r="F8" s="505" t="s">
        <v>613</v>
      </c>
      <c r="G8" s="505" t="s">
        <v>614</v>
      </c>
      <c r="H8" s="506" t="s">
        <v>29</v>
      </c>
    </row>
    <row r="9" spans="1:14" ht="30.2" customHeight="1" x14ac:dyDescent="0.25">
      <c r="A9" s="213"/>
      <c r="B9" s="576" t="str">
        <f>IF($A9="","",(LOOKUP($A9,'Catchment Summary Table'!$A$4:$A$33,'Catchment Summary Table'!$B$4:$B$33)))</f>
        <v/>
      </c>
      <c r="C9" s="576" t="str">
        <f>IF($A9="","",(LOOKUP($A9,'Catchment Summary Table'!$A$4:$A$33,'Catchment Summary Table'!$C$4:$C$33)))</f>
        <v/>
      </c>
      <c r="D9" s="576" t="str">
        <f>IF($A9="","",(LOOKUP($A9,'Catchment Summary Table'!$A$4:$A$33,'Catchment Summary Table'!$D$4:$D$33)))</f>
        <v/>
      </c>
      <c r="E9" s="576" t="str">
        <f>IF($A9="","",(LOOKUP($A9,'Catchment Summary Table'!$A$4:$A$33,'Catchment Summary Table'!$E$4:$E$33)))</f>
        <v/>
      </c>
      <c r="F9" s="576" t="str">
        <f>IF($A9="","",(LOOKUP($A9,'Catchment Summary Table'!$A$4:$A$33,'Catchment Summary Table'!$F$4:$F$33)))</f>
        <v/>
      </c>
      <c r="G9" s="577" t="str">
        <f>IF(B9="","",'Total WQv Calculation'!$B$4)</f>
        <v/>
      </c>
      <c r="H9" s="546" t="str">
        <f>IF($A9="","",(LOOKUP($A9,'Catchment Summary Table'!$A$4:$A$33,'Catchment Summary Table'!$G$4:$G$33)))</f>
        <v/>
      </c>
    </row>
    <row r="10" spans="1:14" ht="30.2" customHeight="1" x14ac:dyDescent="0.25">
      <c r="A10" s="935" t="s">
        <v>549</v>
      </c>
      <c r="B10" s="964"/>
      <c r="C10" s="447"/>
      <c r="D10" s="224" t="str">
        <f>IF(ISERROR((C9-C10)/B9),"",(C9-C10)/B9)</f>
        <v/>
      </c>
      <c r="E10" s="287" t="str">
        <f>IF(ISERROR(D10*100*0.009+0.05),"",(D10*100*0.009+0.05))</f>
        <v/>
      </c>
      <c r="F10" s="263" t="str">
        <f>IF(ISERROR(E10*B9*G9/12*43560 ),"",(E10*B9*G9/12*43560 ))</f>
        <v/>
      </c>
      <c r="G10" s="965" t="s">
        <v>550</v>
      </c>
      <c r="H10" s="966"/>
    </row>
    <row r="11" spans="1:14" s="579" customFormat="1" ht="30.2" customHeight="1" x14ac:dyDescent="0.25">
      <c r="A11" s="952" t="s">
        <v>546</v>
      </c>
      <c r="B11" s="953"/>
      <c r="C11" s="953"/>
      <c r="D11" s="953"/>
      <c r="E11" s="953"/>
      <c r="F11" s="265"/>
      <c r="G11" s="65" t="s">
        <v>207</v>
      </c>
      <c r="H11" s="178"/>
    </row>
    <row r="12" spans="1:14" x14ac:dyDescent="0.25">
      <c r="A12" s="730" t="s">
        <v>430</v>
      </c>
      <c r="B12" s="731"/>
      <c r="C12" s="731"/>
      <c r="D12" s="731"/>
      <c r="E12" s="731"/>
      <c r="F12" s="731"/>
      <c r="G12" s="731"/>
      <c r="H12" s="732"/>
    </row>
    <row r="13" spans="1:14" ht="15" customHeight="1" x14ac:dyDescent="0.25">
      <c r="A13" s="652" t="s">
        <v>471</v>
      </c>
      <c r="B13" s="653"/>
      <c r="C13" s="510" t="s">
        <v>1</v>
      </c>
      <c r="D13" s="263">
        <f>SUM(F10,F11)</f>
        <v>0</v>
      </c>
      <c r="E13" s="65" t="s">
        <v>207</v>
      </c>
      <c r="F13" s="659"/>
      <c r="G13" s="660"/>
      <c r="H13" s="661"/>
    </row>
    <row r="14" spans="1:14" ht="15" customHeight="1" x14ac:dyDescent="0.25">
      <c r="A14" s="652" t="s">
        <v>231</v>
      </c>
      <c r="B14" s="653"/>
      <c r="C14" s="510" t="s">
        <v>156</v>
      </c>
      <c r="D14" s="104"/>
      <c r="E14" s="516" t="s">
        <v>12</v>
      </c>
      <c r="F14" s="656" t="s">
        <v>427</v>
      </c>
      <c r="G14" s="657"/>
      <c r="H14" s="658"/>
    </row>
    <row r="15" spans="1:14" ht="15" customHeight="1" x14ac:dyDescent="0.25">
      <c r="A15" s="954" t="s">
        <v>234</v>
      </c>
      <c r="B15" s="653"/>
      <c r="C15" s="510" t="s">
        <v>157</v>
      </c>
      <c r="D15" s="104"/>
      <c r="E15" s="516" t="s">
        <v>12</v>
      </c>
      <c r="F15" s="949" t="s">
        <v>233</v>
      </c>
      <c r="G15" s="950"/>
      <c r="H15" s="951"/>
    </row>
    <row r="16" spans="1:14" ht="30.2" customHeight="1" x14ac:dyDescent="0.25">
      <c r="A16" s="954" t="s">
        <v>240</v>
      </c>
      <c r="B16" s="653"/>
      <c r="C16" s="510" t="s">
        <v>158</v>
      </c>
      <c r="D16" s="509"/>
      <c r="E16" s="516" t="s">
        <v>12</v>
      </c>
      <c r="F16" s="949" t="s">
        <v>235</v>
      </c>
      <c r="G16" s="950"/>
      <c r="H16" s="951"/>
    </row>
    <row r="17" spans="1:8" ht="15" customHeight="1" x14ac:dyDescent="0.25">
      <c r="A17" s="954" t="s">
        <v>238</v>
      </c>
      <c r="B17" s="955"/>
      <c r="C17" s="510" t="s">
        <v>159</v>
      </c>
      <c r="D17" s="147"/>
      <c r="E17" s="516"/>
      <c r="F17" s="949" t="s">
        <v>236</v>
      </c>
      <c r="G17" s="950"/>
      <c r="H17" s="951"/>
    </row>
    <row r="18" spans="1:8" ht="15" customHeight="1" x14ac:dyDescent="0.25">
      <c r="A18" s="954" t="s">
        <v>239</v>
      </c>
      <c r="B18" s="955"/>
      <c r="C18" s="510" t="s">
        <v>160</v>
      </c>
      <c r="D18" s="147"/>
      <c r="E18" s="516"/>
      <c r="F18" s="949" t="s">
        <v>237</v>
      </c>
      <c r="G18" s="950"/>
      <c r="H18" s="951"/>
    </row>
    <row r="19" spans="1:8" ht="15" customHeight="1" x14ac:dyDescent="0.25">
      <c r="A19" s="652" t="s">
        <v>428</v>
      </c>
      <c r="B19" s="653"/>
      <c r="C19" s="510" t="s">
        <v>230</v>
      </c>
      <c r="D19" s="231">
        <f>IF(D13=0,0,D13/(D14*D17+D15*D18+D16))</f>
        <v>0</v>
      </c>
      <c r="E19" s="516" t="s">
        <v>232</v>
      </c>
      <c r="F19" s="949"/>
      <c r="G19" s="950"/>
      <c r="H19" s="951"/>
    </row>
    <row r="20" spans="1:8" ht="15" customHeight="1" x14ac:dyDescent="0.25">
      <c r="A20" s="958" t="s">
        <v>429</v>
      </c>
      <c r="B20" s="959"/>
      <c r="C20" s="960"/>
      <c r="D20" s="509"/>
      <c r="E20" s="65" t="s">
        <v>143</v>
      </c>
      <c r="F20" s="724" t="str">
        <f>IF(D20&lt;D19,"Error, practice too small"," ")</f>
        <v xml:space="preserve"> </v>
      </c>
      <c r="G20" s="725"/>
      <c r="H20" s="726"/>
    </row>
    <row r="21" spans="1:8" ht="15" customHeight="1" x14ac:dyDescent="0.25">
      <c r="A21" s="958" t="s">
        <v>584</v>
      </c>
      <c r="B21" s="959"/>
      <c r="C21" s="960"/>
      <c r="D21" s="285"/>
      <c r="E21" s="516" t="s">
        <v>525</v>
      </c>
      <c r="F21" s="724" t="str">
        <f>IF(D21="","",IF(D21&gt;=0.5,"Okay","Error: Infiltration rate is too low, practice is not appropriate"))</f>
        <v/>
      </c>
      <c r="G21" s="725"/>
      <c r="H21" s="726"/>
    </row>
    <row r="22" spans="1:8" ht="15" customHeight="1" x14ac:dyDescent="0.25">
      <c r="A22" s="958" t="s">
        <v>570</v>
      </c>
      <c r="B22" s="959"/>
      <c r="C22" s="960"/>
      <c r="D22" s="509"/>
      <c r="E22" s="502"/>
      <c r="F22" s="724"/>
      <c r="G22" s="725"/>
      <c r="H22" s="726"/>
    </row>
    <row r="23" spans="1:8" ht="30.2" customHeight="1" x14ac:dyDescent="0.25">
      <c r="A23" s="961" t="s">
        <v>118</v>
      </c>
      <c r="B23" s="962"/>
      <c r="C23" s="963"/>
      <c r="D23" s="514">
        <f>+D20*(D14*D17+D15*D18+D16)</f>
        <v>0</v>
      </c>
      <c r="E23" s="65" t="s">
        <v>207</v>
      </c>
      <c r="F23" s="949" t="s">
        <v>431</v>
      </c>
      <c r="G23" s="950"/>
      <c r="H23" s="951"/>
    </row>
    <row r="24" spans="1:8" x14ac:dyDescent="0.25">
      <c r="A24" s="730" t="s">
        <v>88</v>
      </c>
      <c r="B24" s="731"/>
      <c r="C24" s="731"/>
      <c r="D24" s="731"/>
      <c r="E24" s="731"/>
      <c r="F24" s="731"/>
      <c r="G24" s="731"/>
      <c r="H24" s="732"/>
    </row>
    <row r="25" spans="1:8" ht="30.2" customHeight="1" x14ac:dyDescent="0.25">
      <c r="A25" s="770" t="s">
        <v>32</v>
      </c>
      <c r="B25" s="770"/>
      <c r="C25" s="770"/>
      <c r="D25" s="247">
        <f>IF(0.8*D23&gt;=(SUM(F10,F11)),(SUM(F10,F11)),0.8*D23)</f>
        <v>0</v>
      </c>
      <c r="E25" s="538" t="s">
        <v>249</v>
      </c>
      <c r="F25" s="943" t="s">
        <v>432</v>
      </c>
      <c r="G25" s="943"/>
      <c r="H25" s="943"/>
    </row>
    <row r="26" spans="1:8" ht="30.2" customHeight="1" x14ac:dyDescent="0.25">
      <c r="A26" s="844" t="s">
        <v>243</v>
      </c>
      <c r="B26" s="844"/>
      <c r="C26" s="844"/>
      <c r="D26" s="514">
        <f>D13-D25</f>
        <v>0</v>
      </c>
      <c r="E26" s="65" t="s">
        <v>207</v>
      </c>
      <c r="F26" s="814" t="s">
        <v>436</v>
      </c>
      <c r="G26" s="814"/>
      <c r="H26" s="814"/>
    </row>
    <row r="27" spans="1:8" ht="15" customHeight="1" x14ac:dyDescent="0.25">
      <c r="A27" s="844" t="s">
        <v>311</v>
      </c>
      <c r="B27" s="844"/>
      <c r="C27" s="844"/>
      <c r="D27" s="536" t="str">
        <f>IF(D20&gt;=D19,"OK","Error")</f>
        <v>OK</v>
      </c>
      <c r="E27" s="510"/>
      <c r="F27" s="949" t="s">
        <v>435</v>
      </c>
      <c r="G27" s="950"/>
      <c r="H27" s="951"/>
    </row>
    <row r="28" spans="1:8" x14ac:dyDescent="0.25">
      <c r="A28" s="136"/>
      <c r="B28" s="136"/>
      <c r="C28" s="136"/>
      <c r="D28" s="136"/>
      <c r="E28" s="136"/>
      <c r="F28" s="136"/>
      <c r="G28" s="136"/>
      <c r="H28" s="136"/>
    </row>
    <row r="29" spans="1:8" x14ac:dyDescent="0.25">
      <c r="A29" s="136"/>
      <c r="B29" s="136"/>
      <c r="C29" s="136"/>
      <c r="D29" s="136"/>
      <c r="E29" s="136"/>
      <c r="F29" s="136"/>
      <c r="G29" s="136"/>
      <c r="H29" s="136"/>
    </row>
    <row r="30" spans="1:8" x14ac:dyDescent="0.25">
      <c r="A30" s="136"/>
      <c r="B30" s="136"/>
      <c r="C30" s="136"/>
      <c r="D30" s="136"/>
      <c r="E30" s="136"/>
      <c r="F30" s="136"/>
      <c r="G30" s="136"/>
      <c r="H30" s="136"/>
    </row>
    <row r="31" spans="1:8" x14ac:dyDescent="0.25">
      <c r="A31" s="136"/>
      <c r="B31" s="136"/>
      <c r="C31" s="136"/>
      <c r="D31" s="136"/>
      <c r="E31" s="136"/>
      <c r="F31" s="136"/>
      <c r="G31" s="136"/>
      <c r="H31" s="136"/>
    </row>
    <row r="32" spans="1:8" x14ac:dyDescent="0.25">
      <c r="A32" s="136"/>
      <c r="B32" s="136"/>
      <c r="C32" s="136"/>
      <c r="D32" s="136"/>
      <c r="E32" s="136"/>
      <c r="F32" s="136"/>
      <c r="G32" s="136"/>
      <c r="H32" s="136"/>
    </row>
    <row r="33" spans="1:8" x14ac:dyDescent="0.25">
      <c r="A33" s="136"/>
      <c r="B33" s="136"/>
      <c r="C33" s="136"/>
      <c r="D33" s="136"/>
      <c r="E33" s="136"/>
      <c r="F33" s="136"/>
      <c r="G33" s="136"/>
      <c r="H33" s="136"/>
    </row>
    <row r="34" spans="1:8" x14ac:dyDescent="0.25">
      <c r="A34" s="136"/>
      <c r="B34" s="136"/>
      <c r="C34" s="136"/>
      <c r="D34" s="136"/>
      <c r="E34" s="136"/>
      <c r="F34" s="136"/>
      <c r="G34" s="136"/>
      <c r="H34" s="136"/>
    </row>
    <row r="35" spans="1:8" ht="15" customHeight="1" x14ac:dyDescent="0.25">
      <c r="A35" s="967" t="s">
        <v>524</v>
      </c>
      <c r="B35" s="956"/>
      <c r="C35" s="956"/>
      <c r="D35" s="956"/>
      <c r="E35" s="956"/>
      <c r="F35" s="956"/>
      <c r="G35" s="956"/>
      <c r="H35" s="956"/>
    </row>
    <row r="36" spans="1:8" ht="15" customHeight="1" x14ac:dyDescent="0.25">
      <c r="A36" s="956" t="s">
        <v>163</v>
      </c>
      <c r="B36" s="956"/>
      <c r="C36" s="956"/>
      <c r="D36" s="956"/>
      <c r="E36" s="956"/>
      <c r="F36" s="956"/>
      <c r="G36" s="956"/>
      <c r="H36" s="956"/>
    </row>
    <row r="37" spans="1:8" ht="15" customHeight="1" x14ac:dyDescent="0.25">
      <c r="A37" s="956" t="s">
        <v>164</v>
      </c>
      <c r="B37" s="956"/>
      <c r="C37" s="956"/>
      <c r="D37" s="956"/>
      <c r="E37" s="956"/>
      <c r="F37" s="956"/>
      <c r="G37" s="956"/>
      <c r="H37" s="956"/>
    </row>
    <row r="38" spans="1:8" ht="15" customHeight="1" x14ac:dyDescent="0.25">
      <c r="A38" s="956" t="s">
        <v>165</v>
      </c>
      <c r="B38" s="956"/>
      <c r="C38" s="956"/>
      <c r="D38" s="956"/>
      <c r="E38" s="956"/>
      <c r="F38" s="956"/>
      <c r="G38" s="956"/>
      <c r="H38" s="956"/>
    </row>
    <row r="39" spans="1:8" x14ac:dyDescent="0.25">
      <c r="A39" s="956"/>
      <c r="B39" s="956"/>
      <c r="C39" s="956"/>
      <c r="D39" s="956"/>
      <c r="E39" s="956"/>
      <c r="F39" s="956"/>
      <c r="G39" s="956"/>
      <c r="H39" s="956"/>
    </row>
    <row r="40" spans="1:8" x14ac:dyDescent="0.25">
      <c r="A40" s="561" t="s">
        <v>600</v>
      </c>
      <c r="B40" s="562" t="str">
        <f>IF('Total WQv Calculation'!$B$3="","",'Total WQv Calculation'!$B$3)</f>
        <v/>
      </c>
      <c r="C40" s="617"/>
      <c r="D40" s="617"/>
      <c r="E40" s="617"/>
      <c r="F40" s="617"/>
      <c r="G40" s="617"/>
      <c r="H40" s="617"/>
    </row>
    <row r="41" spans="1:8" ht="15" customHeight="1" x14ac:dyDescent="0.25">
      <c r="A41" s="667" t="s">
        <v>79</v>
      </c>
      <c r="B41" s="668"/>
      <c r="C41" s="668"/>
      <c r="D41" s="668"/>
      <c r="E41" s="668"/>
      <c r="F41" s="668"/>
      <c r="G41" s="668"/>
      <c r="H41" s="669"/>
    </row>
    <row r="42" spans="1:8" ht="46.7" customHeight="1" x14ac:dyDescent="0.25">
      <c r="A42" s="504" t="s">
        <v>493</v>
      </c>
      <c r="B42" s="505" t="s">
        <v>610</v>
      </c>
      <c r="C42" s="578" t="s">
        <v>611</v>
      </c>
      <c r="D42" s="505" t="s">
        <v>612</v>
      </c>
      <c r="E42" s="505" t="s">
        <v>7</v>
      </c>
      <c r="F42" s="505" t="s">
        <v>613</v>
      </c>
      <c r="G42" s="505" t="s">
        <v>614</v>
      </c>
      <c r="H42" s="506" t="s">
        <v>29</v>
      </c>
    </row>
    <row r="43" spans="1:8" ht="30.2" customHeight="1" x14ac:dyDescent="0.25">
      <c r="A43" s="213"/>
      <c r="B43" s="576" t="str">
        <f>IF($A43="","",(LOOKUP($A43,'Catchment Summary Table'!$A$4:$A$33,'Catchment Summary Table'!$B$4:$B$33)))</f>
        <v/>
      </c>
      <c r="C43" s="576" t="str">
        <f>IF($A43="","",(LOOKUP($A43,'Catchment Summary Table'!$A$4:$A$33,'Catchment Summary Table'!$C$4:$C$33)))</f>
        <v/>
      </c>
      <c r="D43" s="576" t="str">
        <f>IF($A43="","",(LOOKUP($A43,'Catchment Summary Table'!$A$4:$A$33,'Catchment Summary Table'!$D$4:$D$33)))</f>
        <v/>
      </c>
      <c r="E43" s="576" t="str">
        <f>IF($A43="","",(LOOKUP($A43,'Catchment Summary Table'!$A$4:$A$33,'Catchment Summary Table'!$E$4:$E$33)))</f>
        <v/>
      </c>
      <c r="F43" s="576" t="str">
        <f>IF($A43="","",(LOOKUP($A43,'Catchment Summary Table'!$A$4:$A$33,'Catchment Summary Table'!$F$4:$F$33)))</f>
        <v/>
      </c>
      <c r="G43" s="577">
        <f>'Total WQv Calculation'!$B$4</f>
        <v>0</v>
      </c>
      <c r="H43" s="546" t="str">
        <f>IF($A43="","",(LOOKUP($A43,'Catchment Summary Table'!$A$4:$A$33,'Catchment Summary Table'!$G$4:$G$33)))</f>
        <v/>
      </c>
    </row>
    <row r="44" spans="1:8" s="579" customFormat="1" ht="30.2" customHeight="1" x14ac:dyDescent="0.25">
      <c r="A44" s="935" t="s">
        <v>549</v>
      </c>
      <c r="B44" s="964"/>
      <c r="C44" s="447"/>
      <c r="D44" s="224" t="str">
        <f>IF(ISERROR((C43-C44)/B43),"",(C43-C44)/B43)</f>
        <v/>
      </c>
      <c r="E44" s="287" t="str">
        <f>IF(ISERROR(D44*100*0.009+0.05),"",(D44*100*0.009+0.05))</f>
        <v/>
      </c>
      <c r="F44" s="263" t="str">
        <f>IF(ISERROR(E44*B43*G43/12*43560 ),"",(E44*B43*G43/12*43560 ))</f>
        <v/>
      </c>
      <c r="G44" s="965" t="s">
        <v>550</v>
      </c>
      <c r="H44" s="966"/>
    </row>
    <row r="45" spans="1:8" ht="30.2" customHeight="1" x14ac:dyDescent="0.25">
      <c r="A45" s="952" t="s">
        <v>546</v>
      </c>
      <c r="B45" s="953"/>
      <c r="C45" s="953"/>
      <c r="D45" s="953"/>
      <c r="E45" s="953"/>
      <c r="F45" s="265"/>
      <c r="G45" s="65" t="s">
        <v>207</v>
      </c>
      <c r="H45" s="178"/>
    </row>
    <row r="46" spans="1:8" ht="15" customHeight="1" x14ac:dyDescent="0.25">
      <c r="A46" s="730" t="s">
        <v>430</v>
      </c>
      <c r="B46" s="731"/>
      <c r="C46" s="731"/>
      <c r="D46" s="731"/>
      <c r="E46" s="731"/>
      <c r="F46" s="731"/>
      <c r="G46" s="731"/>
      <c r="H46" s="732"/>
    </row>
    <row r="47" spans="1:8" ht="15" customHeight="1" x14ac:dyDescent="0.25">
      <c r="A47" s="652" t="s">
        <v>471</v>
      </c>
      <c r="B47" s="653"/>
      <c r="C47" s="510" t="s">
        <v>1</v>
      </c>
      <c r="D47" s="263">
        <f>SUM(F44,F45)</f>
        <v>0</v>
      </c>
      <c r="E47" s="65" t="s">
        <v>207</v>
      </c>
      <c r="F47" s="659"/>
      <c r="G47" s="660"/>
      <c r="H47" s="661"/>
    </row>
    <row r="48" spans="1:8" ht="15" customHeight="1" x14ac:dyDescent="0.25">
      <c r="A48" s="652" t="s">
        <v>231</v>
      </c>
      <c r="B48" s="653"/>
      <c r="C48" s="510" t="s">
        <v>156</v>
      </c>
      <c r="D48" s="104"/>
      <c r="E48" s="516" t="s">
        <v>12</v>
      </c>
      <c r="F48" s="656" t="s">
        <v>427</v>
      </c>
      <c r="G48" s="657"/>
      <c r="H48" s="658"/>
    </row>
    <row r="49" spans="1:8" ht="15" customHeight="1" x14ac:dyDescent="0.25">
      <c r="A49" s="954" t="s">
        <v>234</v>
      </c>
      <c r="B49" s="653"/>
      <c r="C49" s="510" t="s">
        <v>157</v>
      </c>
      <c r="D49" s="509"/>
      <c r="E49" s="516" t="s">
        <v>12</v>
      </c>
      <c r="F49" s="949" t="s">
        <v>233</v>
      </c>
      <c r="G49" s="950"/>
      <c r="H49" s="951"/>
    </row>
    <row r="50" spans="1:8" ht="15" customHeight="1" x14ac:dyDescent="0.25">
      <c r="A50" s="954" t="s">
        <v>240</v>
      </c>
      <c r="B50" s="653"/>
      <c r="C50" s="510" t="s">
        <v>158</v>
      </c>
      <c r="D50" s="509"/>
      <c r="E50" s="516" t="s">
        <v>12</v>
      </c>
      <c r="F50" s="949" t="s">
        <v>235</v>
      </c>
      <c r="G50" s="950"/>
      <c r="H50" s="951"/>
    </row>
    <row r="51" spans="1:8" ht="15" customHeight="1" x14ac:dyDescent="0.25">
      <c r="A51" s="954" t="s">
        <v>238</v>
      </c>
      <c r="B51" s="955"/>
      <c r="C51" s="510" t="s">
        <v>159</v>
      </c>
      <c r="D51" s="147"/>
      <c r="E51" s="516"/>
      <c r="F51" s="949" t="s">
        <v>236</v>
      </c>
      <c r="G51" s="950"/>
      <c r="H51" s="951"/>
    </row>
    <row r="52" spans="1:8" ht="15" customHeight="1" x14ac:dyDescent="0.25">
      <c r="A52" s="954" t="s">
        <v>239</v>
      </c>
      <c r="B52" s="955"/>
      <c r="C52" s="510" t="s">
        <v>160</v>
      </c>
      <c r="D52" s="147"/>
      <c r="E52" s="516"/>
      <c r="F52" s="949" t="s">
        <v>237</v>
      </c>
      <c r="G52" s="950"/>
      <c r="H52" s="951"/>
    </row>
    <row r="53" spans="1:8" ht="15" customHeight="1" x14ac:dyDescent="0.25">
      <c r="A53" s="652" t="s">
        <v>428</v>
      </c>
      <c r="B53" s="653"/>
      <c r="C53" s="510" t="s">
        <v>230</v>
      </c>
      <c r="D53" s="231">
        <f>IF(D47=0,0,D47/(D48*D51+D49*D52+D50))</f>
        <v>0</v>
      </c>
      <c r="E53" s="516" t="s">
        <v>232</v>
      </c>
      <c r="F53" s="949"/>
      <c r="G53" s="950"/>
      <c r="H53" s="951"/>
    </row>
    <row r="54" spans="1:8" ht="15" customHeight="1" x14ac:dyDescent="0.25">
      <c r="A54" s="958" t="s">
        <v>429</v>
      </c>
      <c r="B54" s="959"/>
      <c r="C54" s="960"/>
      <c r="D54" s="509"/>
      <c r="E54" s="65" t="s">
        <v>143</v>
      </c>
      <c r="F54" s="724" t="str">
        <f>IF(D54&lt;D53,"Error, practice too small"," ")</f>
        <v xml:space="preserve"> </v>
      </c>
      <c r="G54" s="725"/>
      <c r="H54" s="726"/>
    </row>
    <row r="55" spans="1:8" ht="15" customHeight="1" x14ac:dyDescent="0.25">
      <c r="A55" s="958" t="s">
        <v>584</v>
      </c>
      <c r="B55" s="959"/>
      <c r="C55" s="960"/>
      <c r="D55" s="285"/>
      <c r="E55" s="516" t="s">
        <v>525</v>
      </c>
      <c r="F55" s="724" t="str">
        <f>IF(D55="","",IF(D55&gt;=0.5,"Okay","Error: Infiltration rate is too low, practice is not appropriate"))</f>
        <v/>
      </c>
      <c r="G55" s="725"/>
      <c r="H55" s="726"/>
    </row>
    <row r="56" spans="1:8" ht="15" customHeight="1" x14ac:dyDescent="0.25">
      <c r="A56" s="958" t="s">
        <v>570</v>
      </c>
      <c r="B56" s="959"/>
      <c r="C56" s="960"/>
      <c r="D56" s="509"/>
      <c r="E56" s="502"/>
      <c r="F56" s="724"/>
      <c r="G56" s="725"/>
      <c r="H56" s="726"/>
    </row>
    <row r="57" spans="1:8" ht="30.2" customHeight="1" x14ac:dyDescent="0.25">
      <c r="A57" s="961" t="s">
        <v>118</v>
      </c>
      <c r="B57" s="962"/>
      <c r="C57" s="963"/>
      <c r="D57" s="514">
        <f>+D54*(D48*D51+D49*D52+D50)</f>
        <v>0</v>
      </c>
      <c r="E57" s="65" t="s">
        <v>207</v>
      </c>
      <c r="F57" s="949" t="s">
        <v>431</v>
      </c>
      <c r="G57" s="950"/>
      <c r="H57" s="951"/>
    </row>
    <row r="58" spans="1:8" ht="15" customHeight="1" x14ac:dyDescent="0.25">
      <c r="A58" s="730" t="s">
        <v>88</v>
      </c>
      <c r="B58" s="731"/>
      <c r="C58" s="731"/>
      <c r="D58" s="731"/>
      <c r="E58" s="731"/>
      <c r="F58" s="731"/>
      <c r="G58" s="731"/>
      <c r="H58" s="732"/>
    </row>
    <row r="59" spans="1:8" ht="30.2" customHeight="1" x14ac:dyDescent="0.25">
      <c r="A59" s="770" t="s">
        <v>32</v>
      </c>
      <c r="B59" s="770"/>
      <c r="C59" s="770"/>
      <c r="D59" s="247">
        <f>IF(0.8*D57&gt;=(SUM(F44,F45)),(SUM(F44,F45)),0.8*D57)</f>
        <v>0</v>
      </c>
      <c r="E59" s="538" t="s">
        <v>249</v>
      </c>
      <c r="F59" s="943" t="s">
        <v>432</v>
      </c>
      <c r="G59" s="943"/>
      <c r="H59" s="943"/>
    </row>
    <row r="60" spans="1:8" ht="30.2" customHeight="1" x14ac:dyDescent="0.25">
      <c r="A60" s="844" t="s">
        <v>243</v>
      </c>
      <c r="B60" s="844"/>
      <c r="C60" s="844"/>
      <c r="D60" s="514">
        <f>D47-D59</f>
        <v>0</v>
      </c>
      <c r="E60" s="65" t="s">
        <v>207</v>
      </c>
      <c r="F60" s="814" t="s">
        <v>436</v>
      </c>
      <c r="G60" s="814"/>
      <c r="H60" s="814"/>
    </row>
    <row r="61" spans="1:8" ht="33" customHeight="1" x14ac:dyDescent="0.25">
      <c r="A61" s="844" t="s">
        <v>311</v>
      </c>
      <c r="B61" s="844"/>
      <c r="C61" s="844"/>
      <c r="D61" s="536" t="str">
        <f>IF(D54&gt;=D53,"OK","Error")</f>
        <v>OK</v>
      </c>
      <c r="E61" s="510"/>
      <c r="F61" s="949" t="s">
        <v>435</v>
      </c>
      <c r="G61" s="950"/>
      <c r="H61" s="951"/>
    </row>
    <row r="62" spans="1:8" x14ac:dyDescent="0.25">
      <c r="A62" s="794"/>
      <c r="B62" s="794"/>
      <c r="C62" s="794"/>
      <c r="D62" s="169"/>
      <c r="E62" s="501"/>
      <c r="F62" s="957"/>
      <c r="G62" s="957"/>
      <c r="H62" s="957"/>
    </row>
    <row r="72" spans="1:8" ht="15" customHeight="1" x14ac:dyDescent="0.25">
      <c r="A72" s="967" t="s">
        <v>524</v>
      </c>
      <c r="B72" s="956"/>
      <c r="C72" s="956"/>
      <c r="D72" s="956"/>
      <c r="E72" s="956"/>
      <c r="F72" s="956"/>
      <c r="G72" s="956"/>
      <c r="H72" s="956"/>
    </row>
    <row r="73" spans="1:8" ht="15" customHeight="1" x14ac:dyDescent="0.25">
      <c r="A73" s="956" t="s">
        <v>163</v>
      </c>
      <c r="B73" s="956"/>
      <c r="C73" s="956"/>
      <c r="D73" s="956"/>
      <c r="E73" s="956"/>
      <c r="F73" s="956"/>
      <c r="G73" s="956"/>
      <c r="H73" s="956"/>
    </row>
    <row r="74" spans="1:8" ht="15" customHeight="1" x14ac:dyDescent="0.25">
      <c r="A74" s="956" t="s">
        <v>164</v>
      </c>
      <c r="B74" s="956"/>
      <c r="C74" s="956"/>
      <c r="D74" s="956"/>
      <c r="E74" s="956"/>
      <c r="F74" s="956"/>
      <c r="G74" s="956"/>
      <c r="H74" s="956"/>
    </row>
    <row r="75" spans="1:8" ht="15" customHeight="1" x14ac:dyDescent="0.25">
      <c r="A75" s="956" t="s">
        <v>165</v>
      </c>
      <c r="B75" s="956"/>
      <c r="C75" s="956"/>
      <c r="D75" s="956"/>
      <c r="E75" s="956"/>
      <c r="F75" s="956"/>
      <c r="G75" s="956"/>
      <c r="H75" s="956"/>
    </row>
    <row r="76" spans="1:8" ht="15" customHeight="1" x14ac:dyDescent="0.25">
      <c r="A76" s="617"/>
      <c r="B76" s="617"/>
      <c r="C76" s="617"/>
      <c r="D76" s="617"/>
      <c r="E76" s="617"/>
      <c r="F76" s="617"/>
      <c r="G76" s="617"/>
      <c r="H76" s="617"/>
    </row>
    <row r="77" spans="1:8" x14ac:dyDescent="0.25">
      <c r="A77" s="561" t="s">
        <v>600</v>
      </c>
      <c r="B77" s="562" t="str">
        <f>IF('Total WQv Calculation'!$B$3="","",'Total WQv Calculation'!$B$3)</f>
        <v/>
      </c>
      <c r="C77" s="27"/>
      <c r="D77" s="27"/>
      <c r="E77" s="27"/>
      <c r="F77" s="27"/>
      <c r="G77" s="27"/>
      <c r="H77" s="27"/>
    </row>
    <row r="78" spans="1:8" ht="15" customHeight="1" x14ac:dyDescent="0.25">
      <c r="A78" s="667" t="s">
        <v>79</v>
      </c>
      <c r="B78" s="668"/>
      <c r="C78" s="668"/>
      <c r="D78" s="668"/>
      <c r="E78" s="668"/>
      <c r="F78" s="668"/>
      <c r="G78" s="668"/>
      <c r="H78" s="669"/>
    </row>
    <row r="79" spans="1:8" ht="46.7" customHeight="1" x14ac:dyDescent="0.25">
      <c r="A79" s="504" t="s">
        <v>493</v>
      </c>
      <c r="B79" s="505" t="s">
        <v>610</v>
      </c>
      <c r="C79" s="578" t="s">
        <v>611</v>
      </c>
      <c r="D79" s="505" t="s">
        <v>612</v>
      </c>
      <c r="E79" s="505" t="s">
        <v>7</v>
      </c>
      <c r="F79" s="505" t="s">
        <v>613</v>
      </c>
      <c r="G79" s="505" t="s">
        <v>614</v>
      </c>
      <c r="H79" s="506" t="s">
        <v>29</v>
      </c>
    </row>
    <row r="80" spans="1:8" ht="30.2" customHeight="1" x14ac:dyDescent="0.25">
      <c r="A80" s="213"/>
      <c r="B80" s="576" t="str">
        <f>IF($A80="","",(LOOKUP($A80,'Catchment Summary Table'!$A$4:$A$33,'Catchment Summary Table'!$B$4:$B$33)))</f>
        <v/>
      </c>
      <c r="C80" s="576" t="str">
        <f>IF($A80="","",(LOOKUP($A80,'Catchment Summary Table'!$A$4:$A$33,'Catchment Summary Table'!$C$4:$C$33)))</f>
        <v/>
      </c>
      <c r="D80" s="576" t="str">
        <f>IF($A80="","",(LOOKUP($A80,'Catchment Summary Table'!$A$4:$A$33,'Catchment Summary Table'!$D$4:$D$33)))</f>
        <v/>
      </c>
      <c r="E80" s="576" t="str">
        <f>IF($A80="","",(LOOKUP($A80,'Catchment Summary Table'!$A$4:$A$33,'Catchment Summary Table'!$E$4:$E$33)))</f>
        <v/>
      </c>
      <c r="F80" s="576" t="str">
        <f>IF($A80="","",(LOOKUP($A80,'Catchment Summary Table'!$A$4:$A$33,'Catchment Summary Table'!$F$4:$F$33)))</f>
        <v/>
      </c>
      <c r="G80" s="577">
        <f>'Total WQv Calculation'!$B$4</f>
        <v>0</v>
      </c>
      <c r="H80" s="546" t="str">
        <f>IF($A80="","",(LOOKUP($A80,'Catchment Summary Table'!$A$4:$A$33,'Catchment Summary Table'!$G$4:$G$33)))</f>
        <v/>
      </c>
    </row>
    <row r="81" spans="1:8" ht="30.2" customHeight="1" x14ac:dyDescent="0.25">
      <c r="A81" s="935" t="s">
        <v>549</v>
      </c>
      <c r="B81" s="964"/>
      <c r="C81" s="447"/>
      <c r="D81" s="224" t="str">
        <f>IF(ISERROR((C80-C81)/B80),"",(C80-C81)/B80)</f>
        <v/>
      </c>
      <c r="E81" s="287" t="str">
        <f>IF(ISERROR(D81*100*0.009+0.05),"",(D81*100*0.009+0.05))</f>
        <v/>
      </c>
      <c r="F81" s="263" t="str">
        <f>IF(ISERROR(E81*B80*G80/12*43560 ),"",(E81*B80*G80/12*43560 ))</f>
        <v/>
      </c>
      <c r="G81" s="965" t="s">
        <v>550</v>
      </c>
      <c r="H81" s="966"/>
    </row>
    <row r="82" spans="1:8" ht="30.2" customHeight="1" x14ac:dyDescent="0.25">
      <c r="A82" s="952" t="s">
        <v>546</v>
      </c>
      <c r="B82" s="953"/>
      <c r="C82" s="953"/>
      <c r="D82" s="953"/>
      <c r="E82" s="953"/>
      <c r="F82" s="265"/>
      <c r="G82" s="65" t="s">
        <v>207</v>
      </c>
      <c r="H82" s="178"/>
    </row>
    <row r="83" spans="1:8" ht="15" customHeight="1" x14ac:dyDescent="0.25">
      <c r="A83" s="730" t="s">
        <v>430</v>
      </c>
      <c r="B83" s="731"/>
      <c r="C83" s="731"/>
      <c r="D83" s="731"/>
      <c r="E83" s="731"/>
      <c r="F83" s="731"/>
      <c r="G83" s="731"/>
      <c r="H83" s="732"/>
    </row>
    <row r="84" spans="1:8" ht="15" customHeight="1" x14ac:dyDescent="0.25">
      <c r="A84" s="652" t="s">
        <v>471</v>
      </c>
      <c r="B84" s="653"/>
      <c r="C84" s="510" t="s">
        <v>1</v>
      </c>
      <c r="D84" s="263">
        <f>SUM(F81,F82)</f>
        <v>0</v>
      </c>
      <c r="E84" s="65" t="s">
        <v>207</v>
      </c>
      <c r="F84" s="659"/>
      <c r="G84" s="660"/>
      <c r="H84" s="661"/>
    </row>
    <row r="85" spans="1:8" ht="15" customHeight="1" x14ac:dyDescent="0.25">
      <c r="A85" s="652" t="s">
        <v>231</v>
      </c>
      <c r="B85" s="653"/>
      <c r="C85" s="510" t="s">
        <v>156</v>
      </c>
      <c r="D85" s="104"/>
      <c r="E85" s="516" t="s">
        <v>12</v>
      </c>
      <c r="F85" s="656" t="s">
        <v>427</v>
      </c>
      <c r="G85" s="657"/>
      <c r="H85" s="658"/>
    </row>
    <row r="86" spans="1:8" ht="15" customHeight="1" x14ac:dyDescent="0.25">
      <c r="A86" s="954" t="s">
        <v>234</v>
      </c>
      <c r="B86" s="653"/>
      <c r="C86" s="510" t="s">
        <v>157</v>
      </c>
      <c r="D86" s="509"/>
      <c r="E86" s="516" t="s">
        <v>12</v>
      </c>
      <c r="F86" s="949" t="s">
        <v>233</v>
      </c>
      <c r="G86" s="950"/>
      <c r="H86" s="951"/>
    </row>
    <row r="87" spans="1:8" ht="15" customHeight="1" x14ac:dyDescent="0.25">
      <c r="A87" s="954" t="s">
        <v>240</v>
      </c>
      <c r="B87" s="653"/>
      <c r="C87" s="510" t="s">
        <v>158</v>
      </c>
      <c r="D87" s="509"/>
      <c r="E87" s="516" t="s">
        <v>12</v>
      </c>
      <c r="F87" s="949" t="s">
        <v>235</v>
      </c>
      <c r="G87" s="950"/>
      <c r="H87" s="951"/>
    </row>
    <row r="88" spans="1:8" ht="15" customHeight="1" x14ac:dyDescent="0.25">
      <c r="A88" s="954" t="s">
        <v>238</v>
      </c>
      <c r="B88" s="955"/>
      <c r="C88" s="510" t="s">
        <v>159</v>
      </c>
      <c r="D88" s="147"/>
      <c r="E88" s="516"/>
      <c r="F88" s="949" t="s">
        <v>236</v>
      </c>
      <c r="G88" s="950"/>
      <c r="H88" s="951"/>
    </row>
    <row r="89" spans="1:8" ht="15" customHeight="1" x14ac:dyDescent="0.25">
      <c r="A89" s="954" t="s">
        <v>239</v>
      </c>
      <c r="B89" s="955"/>
      <c r="C89" s="510" t="s">
        <v>160</v>
      </c>
      <c r="D89" s="147"/>
      <c r="E89" s="516"/>
      <c r="F89" s="949" t="s">
        <v>237</v>
      </c>
      <c r="G89" s="950"/>
      <c r="H89" s="951"/>
    </row>
    <row r="90" spans="1:8" ht="15" customHeight="1" x14ac:dyDescent="0.25">
      <c r="A90" s="652" t="s">
        <v>428</v>
      </c>
      <c r="B90" s="653"/>
      <c r="C90" s="510" t="s">
        <v>230</v>
      </c>
      <c r="D90" s="231">
        <f>IF(D84=0,0,D84/(D85*D88+D86*D89+D87))</f>
        <v>0</v>
      </c>
      <c r="E90" s="516" t="s">
        <v>232</v>
      </c>
      <c r="F90" s="949"/>
      <c r="G90" s="950"/>
      <c r="H90" s="951"/>
    </row>
    <row r="91" spans="1:8" ht="15" customHeight="1" x14ac:dyDescent="0.25">
      <c r="A91" s="958" t="s">
        <v>429</v>
      </c>
      <c r="B91" s="959"/>
      <c r="C91" s="960"/>
      <c r="D91" s="509"/>
      <c r="E91" s="65" t="s">
        <v>143</v>
      </c>
      <c r="F91" s="724" t="str">
        <f>IF(D91&lt;D90,"Error, practice too small"," ")</f>
        <v xml:space="preserve"> </v>
      </c>
      <c r="G91" s="725"/>
      <c r="H91" s="726"/>
    </row>
    <row r="92" spans="1:8" x14ac:dyDescent="0.25">
      <c r="A92" s="958" t="s">
        <v>584</v>
      </c>
      <c r="B92" s="959"/>
      <c r="C92" s="960"/>
      <c r="D92" s="285"/>
      <c r="E92" s="516" t="s">
        <v>525</v>
      </c>
      <c r="F92" s="724" t="str">
        <f>IF(D92="","",IF(D92&gt;=0.5,"Okay","Error: Infiltration rate is too low, practice is not appropriate"))</f>
        <v/>
      </c>
      <c r="G92" s="725"/>
      <c r="H92" s="726"/>
    </row>
    <row r="93" spans="1:8" ht="15" customHeight="1" x14ac:dyDescent="0.25">
      <c r="A93" s="958" t="s">
        <v>570</v>
      </c>
      <c r="B93" s="959"/>
      <c r="C93" s="960"/>
      <c r="D93" s="509"/>
      <c r="E93" s="502"/>
      <c r="F93" s="724"/>
      <c r="G93" s="725"/>
      <c r="H93" s="726"/>
    </row>
    <row r="94" spans="1:8" ht="30.2" customHeight="1" x14ac:dyDescent="0.25">
      <c r="A94" s="961" t="s">
        <v>118</v>
      </c>
      <c r="B94" s="962"/>
      <c r="C94" s="963"/>
      <c r="D94" s="514">
        <f>+D91*(D85*D88+D86*D89+D87)</f>
        <v>0</v>
      </c>
      <c r="E94" s="65" t="s">
        <v>207</v>
      </c>
      <c r="F94" s="949" t="s">
        <v>431</v>
      </c>
      <c r="G94" s="950"/>
      <c r="H94" s="951"/>
    </row>
    <row r="95" spans="1:8" x14ac:dyDescent="0.25">
      <c r="A95" s="730" t="s">
        <v>88</v>
      </c>
      <c r="B95" s="731"/>
      <c r="C95" s="731"/>
      <c r="D95" s="731"/>
      <c r="E95" s="731"/>
      <c r="F95" s="731"/>
      <c r="G95" s="731"/>
      <c r="H95" s="732"/>
    </row>
    <row r="96" spans="1:8" ht="30.2" customHeight="1" x14ac:dyDescent="0.25">
      <c r="A96" s="770" t="s">
        <v>32</v>
      </c>
      <c r="B96" s="770"/>
      <c r="C96" s="770"/>
      <c r="D96" s="247">
        <f>IF(0.8*D94&gt;=(SUM(F81,F82)),(SUM(F81,F82)),0.8*D94)</f>
        <v>0</v>
      </c>
      <c r="E96" s="538" t="s">
        <v>249</v>
      </c>
      <c r="F96" s="943" t="s">
        <v>432</v>
      </c>
      <c r="G96" s="943"/>
      <c r="H96" s="943"/>
    </row>
    <row r="97" spans="1:8" ht="30.2" customHeight="1" x14ac:dyDescent="0.25">
      <c r="A97" s="844" t="s">
        <v>243</v>
      </c>
      <c r="B97" s="844"/>
      <c r="C97" s="844"/>
      <c r="D97" s="514">
        <f>D84-D96</f>
        <v>0</v>
      </c>
      <c r="E97" s="65" t="s">
        <v>207</v>
      </c>
      <c r="F97" s="814" t="s">
        <v>436</v>
      </c>
      <c r="G97" s="814"/>
      <c r="H97" s="814"/>
    </row>
    <row r="98" spans="1:8" ht="31.5" customHeight="1" x14ac:dyDescent="0.25">
      <c r="A98" s="844" t="s">
        <v>311</v>
      </c>
      <c r="B98" s="844"/>
      <c r="C98" s="844"/>
      <c r="D98" s="536" t="str">
        <f>IF(D91&gt;=D90,"OK","Error")</f>
        <v>OK</v>
      </c>
      <c r="E98" s="510"/>
      <c r="F98" s="949" t="s">
        <v>435</v>
      </c>
      <c r="G98" s="950"/>
      <c r="H98" s="951"/>
    </row>
    <row r="99" spans="1:8" x14ac:dyDescent="0.25">
      <c r="A99" s="794"/>
      <c r="B99" s="794"/>
      <c r="C99" s="794"/>
      <c r="D99" s="169"/>
      <c r="E99" s="501"/>
      <c r="F99" s="957"/>
      <c r="G99" s="957"/>
      <c r="H99" s="957"/>
    </row>
    <row r="109" spans="1:8" ht="15" customHeight="1" x14ac:dyDescent="0.25">
      <c r="A109" s="967" t="s">
        <v>524</v>
      </c>
      <c r="B109" s="956"/>
      <c r="C109" s="956"/>
      <c r="D109" s="956"/>
      <c r="E109" s="956"/>
      <c r="F109" s="956"/>
      <c r="G109" s="956"/>
      <c r="H109" s="956"/>
    </row>
    <row r="110" spans="1:8" ht="15" customHeight="1" x14ac:dyDescent="0.25">
      <c r="A110" s="956" t="s">
        <v>163</v>
      </c>
      <c r="B110" s="956"/>
      <c r="C110" s="956"/>
      <c r="D110" s="956"/>
      <c r="E110" s="956"/>
      <c r="F110" s="956"/>
      <c r="G110" s="956"/>
      <c r="H110" s="956"/>
    </row>
    <row r="111" spans="1:8" ht="15" customHeight="1" x14ac:dyDescent="0.25">
      <c r="A111" s="956" t="s">
        <v>164</v>
      </c>
      <c r="B111" s="956"/>
      <c r="C111" s="956"/>
      <c r="D111" s="956"/>
      <c r="E111" s="956"/>
      <c r="F111" s="956"/>
      <c r="G111" s="956"/>
      <c r="H111" s="956"/>
    </row>
    <row r="112" spans="1:8" ht="15" customHeight="1" x14ac:dyDescent="0.25">
      <c r="A112" s="956" t="s">
        <v>165</v>
      </c>
      <c r="B112" s="956"/>
      <c r="C112" s="956"/>
      <c r="D112" s="956"/>
      <c r="E112" s="956"/>
      <c r="F112" s="956"/>
      <c r="G112" s="956"/>
      <c r="H112" s="956"/>
    </row>
    <row r="113" spans="1:8" x14ac:dyDescent="0.25">
      <c r="A113" s="956"/>
      <c r="B113" s="956"/>
      <c r="C113" s="956"/>
      <c r="D113" s="956"/>
      <c r="E113" s="956"/>
      <c r="F113" s="956"/>
      <c r="G113" s="956"/>
      <c r="H113" s="956"/>
    </row>
    <row r="114" spans="1:8" x14ac:dyDescent="0.25">
      <c r="A114" s="561" t="s">
        <v>600</v>
      </c>
      <c r="B114" s="562" t="str">
        <f>IF('Total WQv Calculation'!$B$3="","",'Total WQv Calculation'!$B$3)</f>
        <v/>
      </c>
      <c r="C114" s="617"/>
      <c r="D114" s="617"/>
      <c r="E114" s="617"/>
      <c r="F114" s="617"/>
      <c r="G114" s="617"/>
      <c r="H114" s="617"/>
    </row>
    <row r="115" spans="1:8" ht="15" customHeight="1" x14ac:dyDescent="0.25">
      <c r="A115" s="667" t="s">
        <v>79</v>
      </c>
      <c r="B115" s="668"/>
      <c r="C115" s="668"/>
      <c r="D115" s="668"/>
      <c r="E115" s="668"/>
      <c r="F115" s="668"/>
      <c r="G115" s="668"/>
      <c r="H115" s="669"/>
    </row>
    <row r="116" spans="1:8" ht="46.7" customHeight="1" x14ac:dyDescent="0.25">
      <c r="A116" s="504" t="s">
        <v>493</v>
      </c>
      <c r="B116" s="505" t="s">
        <v>610</v>
      </c>
      <c r="C116" s="578" t="s">
        <v>611</v>
      </c>
      <c r="D116" s="505" t="s">
        <v>612</v>
      </c>
      <c r="E116" s="505" t="s">
        <v>7</v>
      </c>
      <c r="F116" s="505" t="s">
        <v>613</v>
      </c>
      <c r="G116" s="505" t="s">
        <v>614</v>
      </c>
      <c r="H116" s="506" t="s">
        <v>29</v>
      </c>
    </row>
    <row r="117" spans="1:8" ht="30.2" customHeight="1" x14ac:dyDescent="0.25">
      <c r="A117" s="213"/>
      <c r="B117" s="576" t="str">
        <f>IF($A117="","",(LOOKUP($A117,'Catchment Summary Table'!$A$4:$A$33,'Catchment Summary Table'!$B$4:$B$33)))</f>
        <v/>
      </c>
      <c r="C117" s="576" t="str">
        <f>IF($A117="","",(LOOKUP($A117,'Catchment Summary Table'!$A$4:$A$33,'Catchment Summary Table'!$C$4:$C$33)))</f>
        <v/>
      </c>
      <c r="D117" s="576" t="str">
        <f>IF($A117="","",(LOOKUP($A117,'Catchment Summary Table'!$A$4:$A$33,'Catchment Summary Table'!$D$4:$D$33)))</f>
        <v/>
      </c>
      <c r="E117" s="576" t="str">
        <f>IF($A117="","",(LOOKUP($A117,'Catchment Summary Table'!$A$4:$A$33,'Catchment Summary Table'!$E$4:$E$33)))</f>
        <v/>
      </c>
      <c r="F117" s="576" t="str">
        <f>IF($A117="","",(LOOKUP($A117,'Catchment Summary Table'!$A$4:$A$33,'Catchment Summary Table'!$F$4:$F$33)))</f>
        <v/>
      </c>
      <c r="G117" s="577">
        <f>'Total WQv Calculation'!$B$4</f>
        <v>0</v>
      </c>
      <c r="H117" s="546" t="str">
        <f>IF($A117="","",(LOOKUP($A117,'Catchment Summary Table'!$A$4:$A$33,'Catchment Summary Table'!$G$4:$G$33)))</f>
        <v/>
      </c>
    </row>
    <row r="118" spans="1:8" s="579" customFormat="1" ht="30.2" customHeight="1" x14ac:dyDescent="0.25">
      <c r="A118" s="935" t="s">
        <v>549</v>
      </c>
      <c r="B118" s="964"/>
      <c r="C118" s="447"/>
      <c r="D118" s="224" t="str">
        <f>IF(ISERROR((C117-C118)/B117),"",(C117-C118)/B117)</f>
        <v/>
      </c>
      <c r="E118" s="287" t="str">
        <f>IF(ISERROR(D118*100*0.009+0.05),"",(D118*100*0.009+0.05))</f>
        <v/>
      </c>
      <c r="F118" s="263" t="str">
        <f>IF(ISERROR(E118*B117*G117/12*43560 ),"",(E118*B117*G117/12*43560 ))</f>
        <v/>
      </c>
      <c r="G118" s="965" t="s">
        <v>550</v>
      </c>
      <c r="H118" s="966"/>
    </row>
    <row r="119" spans="1:8" ht="30.2" customHeight="1" x14ac:dyDescent="0.25">
      <c r="A119" s="952" t="s">
        <v>546</v>
      </c>
      <c r="B119" s="953"/>
      <c r="C119" s="953"/>
      <c r="D119" s="953"/>
      <c r="E119" s="953"/>
      <c r="F119" s="265"/>
      <c r="G119" s="65" t="s">
        <v>207</v>
      </c>
      <c r="H119" s="178"/>
    </row>
    <row r="120" spans="1:8" ht="15" customHeight="1" x14ac:dyDescent="0.25">
      <c r="A120" s="730" t="s">
        <v>430</v>
      </c>
      <c r="B120" s="731"/>
      <c r="C120" s="731"/>
      <c r="D120" s="731"/>
      <c r="E120" s="731"/>
      <c r="F120" s="731"/>
      <c r="G120" s="731"/>
      <c r="H120" s="732"/>
    </row>
    <row r="121" spans="1:8" ht="15" customHeight="1" x14ac:dyDescent="0.25">
      <c r="A121" s="652" t="s">
        <v>471</v>
      </c>
      <c r="B121" s="653"/>
      <c r="C121" s="510" t="s">
        <v>1</v>
      </c>
      <c r="D121" s="263">
        <f>SUM(F118,F119)</f>
        <v>0</v>
      </c>
      <c r="E121" s="65" t="s">
        <v>207</v>
      </c>
      <c r="F121" s="659"/>
      <c r="G121" s="660"/>
      <c r="H121" s="661"/>
    </row>
    <row r="122" spans="1:8" ht="15" customHeight="1" x14ac:dyDescent="0.25">
      <c r="A122" s="652" t="s">
        <v>231</v>
      </c>
      <c r="B122" s="653"/>
      <c r="C122" s="510" t="s">
        <v>156</v>
      </c>
      <c r="D122" s="104"/>
      <c r="E122" s="516" t="s">
        <v>12</v>
      </c>
      <c r="F122" s="656" t="s">
        <v>427</v>
      </c>
      <c r="G122" s="657"/>
      <c r="H122" s="658"/>
    </row>
    <row r="123" spans="1:8" ht="15" customHeight="1" x14ac:dyDescent="0.25">
      <c r="A123" s="954" t="s">
        <v>234</v>
      </c>
      <c r="B123" s="653"/>
      <c r="C123" s="510" t="s">
        <v>157</v>
      </c>
      <c r="D123" s="509"/>
      <c r="E123" s="516" t="s">
        <v>12</v>
      </c>
      <c r="F123" s="949" t="s">
        <v>233</v>
      </c>
      <c r="G123" s="950"/>
      <c r="H123" s="951"/>
    </row>
    <row r="124" spans="1:8" ht="15" customHeight="1" x14ac:dyDescent="0.25">
      <c r="A124" s="954" t="s">
        <v>240</v>
      </c>
      <c r="B124" s="653"/>
      <c r="C124" s="510" t="s">
        <v>158</v>
      </c>
      <c r="D124" s="509"/>
      <c r="E124" s="516" t="s">
        <v>12</v>
      </c>
      <c r="F124" s="949" t="s">
        <v>235</v>
      </c>
      <c r="G124" s="950"/>
      <c r="H124" s="951"/>
    </row>
    <row r="125" spans="1:8" ht="15" customHeight="1" x14ac:dyDescent="0.25">
      <c r="A125" s="954" t="s">
        <v>238</v>
      </c>
      <c r="B125" s="955"/>
      <c r="C125" s="510" t="s">
        <v>159</v>
      </c>
      <c r="D125" s="147"/>
      <c r="E125" s="516"/>
      <c r="F125" s="949" t="s">
        <v>236</v>
      </c>
      <c r="G125" s="950"/>
      <c r="H125" s="951"/>
    </row>
    <row r="126" spans="1:8" ht="15" customHeight="1" x14ac:dyDescent="0.25">
      <c r="A126" s="954" t="s">
        <v>239</v>
      </c>
      <c r="B126" s="955"/>
      <c r="C126" s="510" t="s">
        <v>160</v>
      </c>
      <c r="D126" s="147"/>
      <c r="E126" s="516"/>
      <c r="F126" s="949" t="s">
        <v>237</v>
      </c>
      <c r="G126" s="950"/>
      <c r="H126" s="951"/>
    </row>
    <row r="127" spans="1:8" ht="15" customHeight="1" x14ac:dyDescent="0.25">
      <c r="A127" s="652" t="s">
        <v>428</v>
      </c>
      <c r="B127" s="653"/>
      <c r="C127" s="510" t="s">
        <v>230</v>
      </c>
      <c r="D127" s="231">
        <f>IF(D121=0,0,D121/(D122*D125+D123*D126+D124))</f>
        <v>0</v>
      </c>
      <c r="E127" s="516" t="s">
        <v>232</v>
      </c>
      <c r="F127" s="949"/>
      <c r="G127" s="950"/>
      <c r="H127" s="951"/>
    </row>
    <row r="128" spans="1:8" x14ac:dyDescent="0.25">
      <c r="A128" s="958" t="s">
        <v>429</v>
      </c>
      <c r="B128" s="959"/>
      <c r="C128" s="960"/>
      <c r="D128" s="509"/>
      <c r="E128" s="65" t="s">
        <v>143</v>
      </c>
      <c r="F128" s="724" t="str">
        <f>IF(D128&lt;D127,"Error, practice too small"," ")</f>
        <v xml:space="preserve"> </v>
      </c>
      <c r="G128" s="725"/>
      <c r="H128" s="726"/>
    </row>
    <row r="129" spans="1:8" x14ac:dyDescent="0.25">
      <c r="A129" s="958" t="s">
        <v>584</v>
      </c>
      <c r="B129" s="959"/>
      <c r="C129" s="960"/>
      <c r="D129" s="285"/>
      <c r="E129" s="516" t="s">
        <v>525</v>
      </c>
      <c r="F129" s="542" t="str">
        <f>IF(D129="","",IF(D129&gt;=0.5,"Okay","Error: Infiltration rate is too low, practice is not appropriate"))</f>
        <v/>
      </c>
      <c r="G129" s="543"/>
      <c r="H129" s="544"/>
    </row>
    <row r="130" spans="1:8" ht="15" customHeight="1" x14ac:dyDescent="0.25">
      <c r="A130" s="958" t="s">
        <v>570</v>
      </c>
      <c r="B130" s="959"/>
      <c r="C130" s="960"/>
      <c r="D130" s="509"/>
      <c r="E130" s="502"/>
      <c r="F130" s="724"/>
      <c r="G130" s="725"/>
      <c r="H130" s="726"/>
    </row>
    <row r="131" spans="1:8" ht="30.2" customHeight="1" x14ac:dyDescent="0.25">
      <c r="A131" s="961" t="s">
        <v>118</v>
      </c>
      <c r="B131" s="962"/>
      <c r="C131" s="963"/>
      <c r="D131" s="514">
        <f>+D128*(D122*D125+D123*D126+D124)</f>
        <v>0</v>
      </c>
      <c r="E131" s="65" t="s">
        <v>207</v>
      </c>
      <c r="F131" s="949" t="s">
        <v>431</v>
      </c>
      <c r="G131" s="950"/>
      <c r="H131" s="951"/>
    </row>
    <row r="132" spans="1:8" x14ac:dyDescent="0.25">
      <c r="A132" s="730" t="s">
        <v>88</v>
      </c>
      <c r="B132" s="731"/>
      <c r="C132" s="731"/>
      <c r="D132" s="731"/>
      <c r="E132" s="731"/>
      <c r="F132" s="731"/>
      <c r="G132" s="731"/>
      <c r="H132" s="732"/>
    </row>
    <row r="133" spans="1:8" ht="30.2" customHeight="1" x14ac:dyDescent="0.25">
      <c r="A133" s="770" t="s">
        <v>32</v>
      </c>
      <c r="B133" s="770"/>
      <c r="C133" s="770"/>
      <c r="D133" s="247">
        <f>IF(0.8*D131&gt;=(SUM(F118,F119)),(SUM(F118,F119)),0.8*D131)</f>
        <v>0</v>
      </c>
      <c r="E133" s="538" t="s">
        <v>249</v>
      </c>
      <c r="F133" s="943" t="s">
        <v>432</v>
      </c>
      <c r="G133" s="943"/>
      <c r="H133" s="943"/>
    </row>
    <row r="134" spans="1:8" ht="30.2" customHeight="1" x14ac:dyDescent="0.25">
      <c r="A134" s="844" t="s">
        <v>243</v>
      </c>
      <c r="B134" s="844"/>
      <c r="C134" s="844"/>
      <c r="D134" s="514">
        <f>D121-D133</f>
        <v>0</v>
      </c>
      <c r="E134" s="65" t="s">
        <v>207</v>
      </c>
      <c r="F134" s="814" t="s">
        <v>436</v>
      </c>
      <c r="G134" s="814"/>
      <c r="H134" s="814"/>
    </row>
    <row r="135" spans="1:8" ht="30.75" customHeight="1" x14ac:dyDescent="0.25">
      <c r="A135" s="844" t="s">
        <v>311</v>
      </c>
      <c r="B135" s="844"/>
      <c r="C135" s="844"/>
      <c r="D135" s="536" t="str">
        <f>IF(D128&gt;=D127,"OK","Error")</f>
        <v>OK</v>
      </c>
      <c r="E135" s="510"/>
      <c r="F135" s="949" t="s">
        <v>435</v>
      </c>
      <c r="G135" s="950"/>
      <c r="H135" s="951"/>
    </row>
    <row r="136" spans="1:8" x14ac:dyDescent="0.25">
      <c r="A136" s="794"/>
      <c r="B136" s="794"/>
      <c r="C136" s="794"/>
      <c r="D136" s="169"/>
      <c r="E136" s="501"/>
      <c r="F136" s="957"/>
      <c r="G136" s="957"/>
      <c r="H136" s="957"/>
    </row>
  </sheetData>
  <sheetProtection password="C7D7" sheet="1" objects="1" scenarios="1" formatColumns="0" formatRows="0"/>
  <mergeCells count="160">
    <mergeCell ref="A13:B13"/>
    <mergeCell ref="F13:H13"/>
    <mergeCell ref="A14:B14"/>
    <mergeCell ref="F14:H14"/>
    <mergeCell ref="A27:C27"/>
    <mergeCell ref="F27:H27"/>
    <mergeCell ref="A19:B19"/>
    <mergeCell ref="F19:H19"/>
    <mergeCell ref="F20:H20"/>
    <mergeCell ref="F22:H22"/>
    <mergeCell ref="F23:H23"/>
    <mergeCell ref="A24:H24"/>
    <mergeCell ref="F25:H25"/>
    <mergeCell ref="F26:H26"/>
    <mergeCell ref="A25:C25"/>
    <mergeCell ref="A26:C26"/>
    <mergeCell ref="A20:C20"/>
    <mergeCell ref="A21:C21"/>
    <mergeCell ref="A22:C22"/>
    <mergeCell ref="A23:C23"/>
    <mergeCell ref="A1:H1"/>
    <mergeCell ref="A36:H36"/>
    <mergeCell ref="A72:H72"/>
    <mergeCell ref="A109:H109"/>
    <mergeCell ref="F21:H21"/>
    <mergeCell ref="F55:H55"/>
    <mergeCell ref="F92:H92"/>
    <mergeCell ref="A16:B16"/>
    <mergeCell ref="F16:H16"/>
    <mergeCell ref="A17:B17"/>
    <mergeCell ref="F17:H17"/>
    <mergeCell ref="A18:B18"/>
    <mergeCell ref="F18:H18"/>
    <mergeCell ref="A15:B15"/>
    <mergeCell ref="F15:H15"/>
    <mergeCell ref="A2:H2"/>
    <mergeCell ref="A3:H3"/>
    <mergeCell ref="A4:H4"/>
    <mergeCell ref="A5:H5"/>
    <mergeCell ref="A7:H7"/>
    <mergeCell ref="A12:H12"/>
    <mergeCell ref="A10:B10"/>
    <mergeCell ref="G10:H10"/>
    <mergeCell ref="A44:B44"/>
    <mergeCell ref="A49:B49"/>
    <mergeCell ref="F49:H49"/>
    <mergeCell ref="G44:H44"/>
    <mergeCell ref="A45:E45"/>
    <mergeCell ref="A50:B50"/>
    <mergeCell ref="F50:H50"/>
    <mergeCell ref="A35:H35"/>
    <mergeCell ref="A37:H37"/>
    <mergeCell ref="A38:H38"/>
    <mergeCell ref="A39:H39"/>
    <mergeCell ref="A41:H41"/>
    <mergeCell ref="A46:H46"/>
    <mergeCell ref="A47:B47"/>
    <mergeCell ref="F47:H47"/>
    <mergeCell ref="A48:B48"/>
    <mergeCell ref="F48:H48"/>
    <mergeCell ref="F54:H54"/>
    <mergeCell ref="F56:H56"/>
    <mergeCell ref="F57:H57"/>
    <mergeCell ref="A51:B51"/>
    <mergeCell ref="F51:H51"/>
    <mergeCell ref="A52:B52"/>
    <mergeCell ref="F52:H52"/>
    <mergeCell ref="A53:B53"/>
    <mergeCell ref="F53:H53"/>
    <mergeCell ref="A56:C56"/>
    <mergeCell ref="A57:C57"/>
    <mergeCell ref="A54:C54"/>
    <mergeCell ref="A55:C55"/>
    <mergeCell ref="A61:C61"/>
    <mergeCell ref="F61:H61"/>
    <mergeCell ref="A62:C62"/>
    <mergeCell ref="F62:H62"/>
    <mergeCell ref="F59:H59"/>
    <mergeCell ref="A58:H58"/>
    <mergeCell ref="A59:C59"/>
    <mergeCell ref="A60:C60"/>
    <mergeCell ref="F60:H60"/>
    <mergeCell ref="A86:B86"/>
    <mergeCell ref="F86:H86"/>
    <mergeCell ref="A87:B87"/>
    <mergeCell ref="F87:H87"/>
    <mergeCell ref="A73:H73"/>
    <mergeCell ref="A74:H74"/>
    <mergeCell ref="A75:H75"/>
    <mergeCell ref="A78:H78"/>
    <mergeCell ref="A83:H83"/>
    <mergeCell ref="A84:B84"/>
    <mergeCell ref="F84:H84"/>
    <mergeCell ref="A85:B85"/>
    <mergeCell ref="F85:H85"/>
    <mergeCell ref="A81:B81"/>
    <mergeCell ref="G81:H81"/>
    <mergeCell ref="A82:E82"/>
    <mergeCell ref="F91:H91"/>
    <mergeCell ref="F93:H93"/>
    <mergeCell ref="F94:H94"/>
    <mergeCell ref="A88:B88"/>
    <mergeCell ref="F88:H88"/>
    <mergeCell ref="A89:B89"/>
    <mergeCell ref="F89:H89"/>
    <mergeCell ref="A90:B90"/>
    <mergeCell ref="F90:H90"/>
    <mergeCell ref="A94:C94"/>
    <mergeCell ref="A91:C91"/>
    <mergeCell ref="A92:C92"/>
    <mergeCell ref="A93:C93"/>
    <mergeCell ref="F99:H99"/>
    <mergeCell ref="A119:E119"/>
    <mergeCell ref="F96:H96"/>
    <mergeCell ref="A95:H95"/>
    <mergeCell ref="A96:C96"/>
    <mergeCell ref="A97:C97"/>
    <mergeCell ref="F97:H97"/>
    <mergeCell ref="A118:B118"/>
    <mergeCell ref="G118:H118"/>
    <mergeCell ref="F98:H98"/>
    <mergeCell ref="A99:C99"/>
    <mergeCell ref="A136:C136"/>
    <mergeCell ref="F136:H136"/>
    <mergeCell ref="F133:H133"/>
    <mergeCell ref="A132:H132"/>
    <mergeCell ref="A133:C133"/>
    <mergeCell ref="A134:C134"/>
    <mergeCell ref="F134:H134"/>
    <mergeCell ref="F128:H128"/>
    <mergeCell ref="F130:H130"/>
    <mergeCell ref="F131:H131"/>
    <mergeCell ref="A128:C128"/>
    <mergeCell ref="A129:C129"/>
    <mergeCell ref="A130:C130"/>
    <mergeCell ref="A131:C131"/>
    <mergeCell ref="A11:E11"/>
    <mergeCell ref="A135:C135"/>
    <mergeCell ref="F135:H135"/>
    <mergeCell ref="A125:B125"/>
    <mergeCell ref="F125:H125"/>
    <mergeCell ref="A126:B126"/>
    <mergeCell ref="F126:H126"/>
    <mergeCell ref="A127:B127"/>
    <mergeCell ref="F127:H127"/>
    <mergeCell ref="A123:B123"/>
    <mergeCell ref="F123:H123"/>
    <mergeCell ref="A124:B124"/>
    <mergeCell ref="F124:H124"/>
    <mergeCell ref="A110:H110"/>
    <mergeCell ref="A111:H111"/>
    <mergeCell ref="A112:H112"/>
    <mergeCell ref="A113:H113"/>
    <mergeCell ref="A115:H115"/>
    <mergeCell ref="A120:H120"/>
    <mergeCell ref="A121:B121"/>
    <mergeCell ref="F121:H121"/>
    <mergeCell ref="A122:B122"/>
    <mergeCell ref="F122:H122"/>
    <mergeCell ref="A98:C98"/>
  </mergeCells>
  <dataValidations count="2">
    <dataValidation type="list" allowBlank="1" showInputMessage="1" showErrorMessage="1" sqref="D130 D93 D22 D56">
      <formula1>Underdrains</formula1>
    </dataValidation>
    <dataValidation type="list" showInputMessage="1" showErrorMessage="1" promptTitle="Choose Area" sqref="A117 A80 A9 A43">
      <formula1>CatchNo</formula1>
    </dataValidation>
  </dataValidations>
  <pageMargins left="0.7" right="0.7" top="0.75" bottom="0.75" header="0.3" footer="0.3"/>
  <pageSetup orientation="portrait" r:id="rId1"/>
  <headerFooter>
    <oddHeader>&amp;C&amp;18Infiltrating Bioretention Worksheet</oddHead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J23"/>
  <sheetViews>
    <sheetView view="pageLayout" zoomScale="150" zoomScaleNormal="100" zoomScalePageLayoutView="150" workbookViewId="0">
      <selection activeCell="B3" sqref="B3"/>
    </sheetView>
  </sheetViews>
  <sheetFormatPr defaultRowHeight="15" x14ac:dyDescent="0.25"/>
  <cols>
    <col min="1" max="1" width="13.42578125" style="407" customWidth="1"/>
    <col min="2" max="2" width="12.28515625" style="407" customWidth="1"/>
    <col min="3" max="3" width="14.7109375" style="407" customWidth="1"/>
    <col min="4" max="4" width="14.5703125" style="407" customWidth="1"/>
    <col min="5" max="5" width="11.140625" style="407" customWidth="1"/>
    <col min="6" max="6" width="10.5703125" style="407" customWidth="1"/>
    <col min="7" max="7" width="13.140625" style="407" customWidth="1"/>
    <col min="8" max="8" width="10.140625" style="407" bestFit="1" customWidth="1"/>
    <col min="9" max="16384" width="9.140625" style="407"/>
  </cols>
  <sheetData>
    <row r="1" spans="1:10" x14ac:dyDescent="0.25">
      <c r="A1" s="645" t="s">
        <v>597</v>
      </c>
      <c r="B1" s="645"/>
      <c r="C1" s="645"/>
      <c r="D1" s="645"/>
      <c r="E1" s="645"/>
      <c r="F1" s="645"/>
      <c r="G1" s="645"/>
    </row>
    <row r="2" spans="1:10" ht="45.2" customHeight="1" x14ac:dyDescent="0.25">
      <c r="A2" s="504" t="s">
        <v>493</v>
      </c>
      <c r="B2" s="505" t="s">
        <v>610</v>
      </c>
      <c r="C2" s="578" t="s">
        <v>611</v>
      </c>
      <c r="D2" s="505" t="s">
        <v>612</v>
      </c>
      <c r="E2" s="505" t="s">
        <v>7</v>
      </c>
      <c r="F2" s="505" t="s">
        <v>613</v>
      </c>
      <c r="G2" s="506" t="s">
        <v>29</v>
      </c>
      <c r="J2" s="399"/>
    </row>
    <row r="3" spans="1:10" x14ac:dyDescent="0.25">
      <c r="A3" s="409">
        <v>11</v>
      </c>
      <c r="B3" s="104"/>
      <c r="C3" s="400"/>
      <c r="D3" s="214" t="str">
        <f t="shared" ref="D3:D22" si="0">IFERROR(C3/B3,"")</f>
        <v/>
      </c>
      <c r="E3" s="148" t="str">
        <f>IFERROR(0.05+0.009*D3*100,"")</f>
        <v/>
      </c>
      <c r="F3" s="431" t="str">
        <f>IFERROR((B3*'Total WQv Calculation'!$B$4*E3/12)*43560,"")</f>
        <v/>
      </c>
      <c r="G3" s="401"/>
      <c r="J3" s="399"/>
    </row>
    <row r="4" spans="1:10" x14ac:dyDescent="0.25">
      <c r="A4" s="409">
        <v>12</v>
      </c>
      <c r="B4" s="104"/>
      <c r="C4" s="400"/>
      <c r="D4" s="214" t="str">
        <f t="shared" si="0"/>
        <v/>
      </c>
      <c r="E4" s="148" t="str">
        <f t="shared" ref="E4:E22" si="1">IFERROR(0.05+0.009*D4*100,"")</f>
        <v/>
      </c>
      <c r="F4" s="431" t="str">
        <f>IFERROR((B4*'Total WQv Calculation'!$B$4*E4/12)*43560,"")</f>
        <v/>
      </c>
      <c r="G4" s="401"/>
    </row>
    <row r="5" spans="1:10" x14ac:dyDescent="0.25">
      <c r="A5" s="409">
        <v>13</v>
      </c>
      <c r="B5" s="104"/>
      <c r="C5" s="400"/>
      <c r="D5" s="214" t="str">
        <f t="shared" si="0"/>
        <v/>
      </c>
      <c r="E5" s="148" t="str">
        <f t="shared" si="1"/>
        <v/>
      </c>
      <c r="F5" s="431" t="str">
        <f>IFERROR((B5*'Total WQv Calculation'!$B$4*E5/12)*43560,"")</f>
        <v/>
      </c>
      <c r="G5" s="401"/>
    </row>
    <row r="6" spans="1:10" x14ac:dyDescent="0.25">
      <c r="A6" s="409">
        <v>14</v>
      </c>
      <c r="B6" s="104"/>
      <c r="C6" s="400"/>
      <c r="D6" s="214" t="str">
        <f t="shared" si="0"/>
        <v/>
      </c>
      <c r="E6" s="148" t="str">
        <f t="shared" si="1"/>
        <v/>
      </c>
      <c r="F6" s="431" t="str">
        <f>IFERROR((B6*'Total WQv Calculation'!$B$4*E6/12)*43560,"")</f>
        <v/>
      </c>
      <c r="G6" s="401"/>
    </row>
    <row r="7" spans="1:10" x14ac:dyDescent="0.25">
      <c r="A7" s="409">
        <v>15</v>
      </c>
      <c r="B7" s="104"/>
      <c r="C7" s="400"/>
      <c r="D7" s="214" t="str">
        <f t="shared" si="0"/>
        <v/>
      </c>
      <c r="E7" s="148" t="str">
        <f t="shared" si="1"/>
        <v/>
      </c>
      <c r="F7" s="431" t="str">
        <f>IFERROR((B7*'Total WQv Calculation'!$B$4*E7/12)*43560,"")</f>
        <v/>
      </c>
      <c r="G7" s="401"/>
    </row>
    <row r="8" spans="1:10" x14ac:dyDescent="0.25">
      <c r="A8" s="409">
        <v>16</v>
      </c>
      <c r="B8" s="104"/>
      <c r="C8" s="400"/>
      <c r="D8" s="214" t="str">
        <f t="shared" si="0"/>
        <v/>
      </c>
      <c r="E8" s="148" t="str">
        <f t="shared" si="1"/>
        <v/>
      </c>
      <c r="F8" s="431" t="str">
        <f>IFERROR((B8*'Total WQv Calculation'!$B$4*E8/12)*43560,"")</f>
        <v/>
      </c>
      <c r="G8" s="401"/>
    </row>
    <row r="9" spans="1:10" x14ac:dyDescent="0.25">
      <c r="A9" s="409">
        <v>17</v>
      </c>
      <c r="B9" s="104"/>
      <c r="C9" s="400"/>
      <c r="D9" s="214" t="str">
        <f t="shared" si="0"/>
        <v/>
      </c>
      <c r="E9" s="148" t="str">
        <f t="shared" si="1"/>
        <v/>
      </c>
      <c r="F9" s="431" t="str">
        <f>IFERROR((B9*'Total WQv Calculation'!$B$4*E9/12)*43560,"")</f>
        <v/>
      </c>
      <c r="G9" s="401"/>
    </row>
    <row r="10" spans="1:10" x14ac:dyDescent="0.25">
      <c r="A10" s="57">
        <v>18</v>
      </c>
      <c r="B10" s="104"/>
      <c r="C10" s="400"/>
      <c r="D10" s="214" t="str">
        <f t="shared" si="0"/>
        <v/>
      </c>
      <c r="E10" s="148" t="str">
        <f t="shared" si="1"/>
        <v/>
      </c>
      <c r="F10" s="431" t="str">
        <f>IFERROR((B10*'Total WQv Calculation'!$B$4*E10/12)*43560,"")</f>
        <v/>
      </c>
      <c r="G10" s="401"/>
    </row>
    <row r="11" spans="1:10" x14ac:dyDescent="0.25">
      <c r="A11" s="409">
        <v>19</v>
      </c>
      <c r="B11" s="104"/>
      <c r="C11" s="400"/>
      <c r="D11" s="214" t="str">
        <f t="shared" si="0"/>
        <v/>
      </c>
      <c r="E11" s="148" t="str">
        <f t="shared" si="1"/>
        <v/>
      </c>
      <c r="F11" s="431" t="str">
        <f>IFERROR((B11*'Total WQv Calculation'!$B$4*E11/12)*43560,"")</f>
        <v/>
      </c>
      <c r="G11" s="401"/>
    </row>
    <row r="12" spans="1:10" x14ac:dyDescent="0.25">
      <c r="A12" s="409">
        <v>20</v>
      </c>
      <c r="B12" s="104"/>
      <c r="C12" s="400"/>
      <c r="D12" s="214" t="str">
        <f t="shared" si="0"/>
        <v/>
      </c>
      <c r="E12" s="148" t="str">
        <f t="shared" si="1"/>
        <v/>
      </c>
      <c r="F12" s="431" t="str">
        <f>IFERROR((B12*'Total WQv Calculation'!$B$4*E12/12)*43560,"")</f>
        <v/>
      </c>
      <c r="G12" s="402"/>
    </row>
    <row r="13" spans="1:10" x14ac:dyDescent="0.25">
      <c r="A13" s="409">
        <v>21</v>
      </c>
      <c r="B13" s="104"/>
      <c r="C13" s="400"/>
      <c r="D13" s="214" t="str">
        <f t="shared" si="0"/>
        <v/>
      </c>
      <c r="E13" s="148" t="str">
        <f>IFERROR(0.05+0.009*D13*100,"")</f>
        <v/>
      </c>
      <c r="F13" s="431" t="str">
        <f>IFERROR((B13*'Total WQv Calculation'!$B$4*E13/12)*43560,"")</f>
        <v/>
      </c>
      <c r="G13" s="402"/>
    </row>
    <row r="14" spans="1:10" x14ac:dyDescent="0.25">
      <c r="A14" s="409">
        <v>22</v>
      </c>
      <c r="B14" s="104"/>
      <c r="C14" s="400"/>
      <c r="D14" s="214" t="str">
        <f t="shared" si="0"/>
        <v/>
      </c>
      <c r="E14" s="148" t="str">
        <f t="shared" si="1"/>
        <v/>
      </c>
      <c r="F14" s="431" t="str">
        <f>IFERROR((B14*'Total WQv Calculation'!$B$4*E14/12)*43560,"")</f>
        <v/>
      </c>
      <c r="G14" s="402"/>
    </row>
    <row r="15" spans="1:10" x14ac:dyDescent="0.25">
      <c r="A15" s="409">
        <v>23</v>
      </c>
      <c r="B15" s="104"/>
      <c r="C15" s="400"/>
      <c r="D15" s="214" t="str">
        <f t="shared" si="0"/>
        <v/>
      </c>
      <c r="E15" s="148" t="str">
        <f t="shared" si="1"/>
        <v/>
      </c>
      <c r="F15" s="431" t="str">
        <f>IFERROR((B15*'Total WQv Calculation'!$B$4*E15/12)*43560,"")</f>
        <v/>
      </c>
      <c r="G15" s="402"/>
    </row>
    <row r="16" spans="1:10" x14ac:dyDescent="0.25">
      <c r="A16" s="409">
        <v>24</v>
      </c>
      <c r="B16" s="104"/>
      <c r="C16" s="400"/>
      <c r="D16" s="214" t="str">
        <f t="shared" si="0"/>
        <v/>
      </c>
      <c r="E16" s="148" t="str">
        <f t="shared" si="1"/>
        <v/>
      </c>
      <c r="F16" s="431" t="str">
        <f>IFERROR((B16*'Total WQv Calculation'!$B$4*E16/12)*43560,"")</f>
        <v/>
      </c>
      <c r="G16" s="402"/>
    </row>
    <row r="17" spans="1:9" x14ac:dyDescent="0.25">
      <c r="A17" s="409">
        <v>25</v>
      </c>
      <c r="B17" s="104"/>
      <c r="C17" s="400"/>
      <c r="D17" s="214" t="str">
        <f t="shared" si="0"/>
        <v/>
      </c>
      <c r="E17" s="148" t="str">
        <f t="shared" si="1"/>
        <v/>
      </c>
      <c r="F17" s="431" t="str">
        <f>IFERROR((B17*'Total WQv Calculation'!$B$4*E17/12)*43560,"")</f>
        <v/>
      </c>
      <c r="G17" s="402"/>
    </row>
    <row r="18" spans="1:9" x14ac:dyDescent="0.25">
      <c r="A18" s="409">
        <v>26</v>
      </c>
      <c r="B18" s="104"/>
      <c r="C18" s="400"/>
      <c r="D18" s="214" t="str">
        <f t="shared" si="0"/>
        <v/>
      </c>
      <c r="E18" s="148" t="str">
        <f t="shared" si="1"/>
        <v/>
      </c>
      <c r="F18" s="431" t="str">
        <f>IFERROR((B18*'Total WQv Calculation'!$B$4*E18/12)*43560,"")</f>
        <v/>
      </c>
      <c r="G18" s="402"/>
    </row>
    <row r="19" spans="1:9" x14ac:dyDescent="0.25">
      <c r="A19" s="409">
        <v>27</v>
      </c>
      <c r="B19" s="104"/>
      <c r="C19" s="400"/>
      <c r="D19" s="214" t="str">
        <f t="shared" si="0"/>
        <v/>
      </c>
      <c r="E19" s="148" t="str">
        <f t="shared" si="1"/>
        <v/>
      </c>
      <c r="F19" s="431" t="str">
        <f>IFERROR((B19*'Total WQv Calculation'!$B$4*E19/12)*43560,"")</f>
        <v/>
      </c>
      <c r="G19" s="402"/>
    </row>
    <row r="20" spans="1:9" x14ac:dyDescent="0.25">
      <c r="A20" s="409">
        <v>28</v>
      </c>
      <c r="B20" s="104"/>
      <c r="C20" s="400"/>
      <c r="D20" s="214" t="str">
        <f t="shared" si="0"/>
        <v/>
      </c>
      <c r="E20" s="148" t="str">
        <f t="shared" si="1"/>
        <v/>
      </c>
      <c r="F20" s="431" t="str">
        <f>IFERROR((B20*'Total WQv Calculation'!$B$4*E20/12)*43560,"")</f>
        <v/>
      </c>
      <c r="G20" s="402"/>
    </row>
    <row r="21" spans="1:9" x14ac:dyDescent="0.25">
      <c r="A21" s="409">
        <v>29</v>
      </c>
      <c r="B21" s="104"/>
      <c r="C21" s="400"/>
      <c r="D21" s="214" t="str">
        <f t="shared" si="0"/>
        <v/>
      </c>
      <c r="E21" s="148" t="str">
        <f t="shared" si="1"/>
        <v/>
      </c>
      <c r="F21" s="431" t="str">
        <f>IFERROR((B21*'Total WQv Calculation'!$B$4*E21/12)*43560,"")</f>
        <v/>
      </c>
      <c r="G21" s="402"/>
    </row>
    <row r="22" spans="1:9" x14ac:dyDescent="0.25">
      <c r="A22" s="409">
        <v>30</v>
      </c>
      <c r="B22" s="104"/>
      <c r="C22" s="400"/>
      <c r="D22" s="214" t="str">
        <f t="shared" si="0"/>
        <v/>
      </c>
      <c r="E22" s="148" t="str">
        <f t="shared" si="1"/>
        <v/>
      </c>
      <c r="F22" s="431" t="str">
        <f>IFERROR((B22*'Total WQv Calculation'!$B$4*E22/12)*43560,"")</f>
        <v/>
      </c>
      <c r="G22" s="402"/>
    </row>
    <row r="23" spans="1:9" x14ac:dyDescent="0.25">
      <c r="A23" s="406" t="s">
        <v>598</v>
      </c>
      <c r="B23" s="61">
        <f>SUM(B3:B22)</f>
        <v>0</v>
      </c>
      <c r="C23" s="403">
        <f>SUM(C3:C22)</f>
        <v>0</v>
      </c>
      <c r="D23" s="214" t="str">
        <f>IF(D3="","",IFERROR(C23/B23,""))</f>
        <v/>
      </c>
      <c r="E23" s="148" t="str">
        <f>IF(E3="","",IFERROR(0.05+0.009*D23*100,""))</f>
        <v/>
      </c>
      <c r="F23" s="404">
        <f>SUM(F3:F22)</f>
        <v>0</v>
      </c>
      <c r="G23" s="207" t="s">
        <v>598</v>
      </c>
      <c r="H23" s="246">
        <f>IF(F23="","",F23/43560)</f>
        <v>0</v>
      </c>
      <c r="I23" s="408" t="s">
        <v>473</v>
      </c>
    </row>
  </sheetData>
  <sheetProtection password="C7D7" sheet="1" objects="1" scenarios="1" formatColumns="0" formatRows="0"/>
  <mergeCells count="1">
    <mergeCell ref="A1:G1"/>
  </mergeCells>
  <dataValidations disablePrompts="1" count="1">
    <dataValidation type="list" allowBlank="1" showInputMessage="1" showErrorMessage="1" sqref="G3:G22">
      <formula1>Practice</formula1>
    </dataValidation>
  </dataValidations>
  <pageMargins left="0.7" right="0.7" top="0.75" bottom="0.75" header="0.3" footer="0.3"/>
  <pageSetup orientation="portrait" r:id="rId1"/>
  <headerFooter>
    <oddHeader>&amp;CTotal Water Quality Volume Calculation
WQv(acre-feet) = [(P)(Rv)(A)] /12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autoFill="0" autoPict="0" macro="[0]!NO">
                <anchor moveWithCells="1" sizeWithCells="1">
                  <from>
                    <xdr:col>6</xdr:col>
                    <xdr:colOff>85725</xdr:colOff>
                    <xdr:row>0</xdr:row>
                    <xdr:rowOff>0</xdr:rowOff>
                  </from>
                  <to>
                    <xdr:col>6</xdr:col>
                    <xdr:colOff>819150</xdr:colOff>
                    <xdr:row>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136"/>
  <sheetViews>
    <sheetView view="pageLayout" zoomScaleNormal="100" workbookViewId="0">
      <selection activeCell="A4" sqref="A4"/>
    </sheetView>
  </sheetViews>
  <sheetFormatPr defaultColWidth="9.140625" defaultRowHeight="15" x14ac:dyDescent="0.25"/>
  <cols>
    <col min="1" max="2" width="12.7109375" style="529" customWidth="1"/>
    <col min="3" max="3" width="11.42578125" style="529" customWidth="1"/>
    <col min="4" max="4" width="10.7109375" style="529" customWidth="1"/>
    <col min="5" max="5" width="6.42578125" style="529" customWidth="1"/>
    <col min="6" max="6" width="8.5703125" style="529" customWidth="1"/>
    <col min="7" max="7" width="12.140625" style="529" customWidth="1"/>
    <col min="8" max="8" width="15.28515625" style="529" customWidth="1"/>
    <col min="9" max="9" width="21.42578125" style="529" customWidth="1"/>
    <col min="10" max="10" width="9.140625" style="529"/>
    <col min="11" max="14" width="9.140625" style="529" hidden="1" customWidth="1"/>
    <col min="15" max="16384" width="9.140625" style="529"/>
  </cols>
  <sheetData>
    <row r="1" spans="1:8" ht="15" customHeight="1" x14ac:dyDescent="0.25">
      <c r="A1" s="561" t="s">
        <v>600</v>
      </c>
      <c r="B1" s="562" t="str">
        <f>IF('Total WQv Calculation'!$B$3="","",'Total WQv Calculation'!$B$3)</f>
        <v/>
      </c>
    </row>
    <row r="2" spans="1:8" x14ac:dyDescent="0.25">
      <c r="A2" s="730" t="s">
        <v>79</v>
      </c>
      <c r="B2" s="731"/>
      <c r="C2" s="731"/>
      <c r="D2" s="731"/>
      <c r="E2" s="731"/>
      <c r="F2" s="731"/>
      <c r="G2" s="731"/>
      <c r="H2" s="732"/>
    </row>
    <row r="3" spans="1:8" ht="46.7" customHeight="1" x14ac:dyDescent="0.25">
      <c r="A3" s="504" t="s">
        <v>493</v>
      </c>
      <c r="B3" s="505" t="s">
        <v>610</v>
      </c>
      <c r="C3" s="578" t="s">
        <v>611</v>
      </c>
      <c r="D3" s="505" t="s">
        <v>612</v>
      </c>
      <c r="E3" s="505" t="s">
        <v>7</v>
      </c>
      <c r="F3" s="505" t="s">
        <v>613</v>
      </c>
      <c r="G3" s="505" t="s">
        <v>614</v>
      </c>
      <c r="H3" s="506" t="s">
        <v>29</v>
      </c>
    </row>
    <row r="4" spans="1:8" ht="30.2" customHeight="1" x14ac:dyDescent="0.25">
      <c r="A4" s="509"/>
      <c r="B4" s="61" t="str">
        <f>IF($A4="","",(LOOKUP($A4,'Catchment Summary Table'!$A$4:$A$33,'Catchment Summary Table'!$B$4:$B$33)))</f>
        <v/>
      </c>
      <c r="C4" s="61" t="str">
        <f>IF($A4="","",(LOOKUP($A4,'Catchment Summary Table'!$A$4:$A$33,'Catchment Summary Table'!$C$4:$C$33)))</f>
        <v/>
      </c>
      <c r="D4" s="61" t="str">
        <f>IF($A4="","",(LOOKUP($A4,'Catchment Summary Table'!$A$4:$A$33,'Catchment Summary Table'!$D$4:$D$33)))</f>
        <v/>
      </c>
      <c r="E4" s="61" t="str">
        <f>IF($A4="","",(LOOKUP($A4,'Catchment Summary Table'!$A$4:$A$33,'Catchment Summary Table'!$E$4:$E$33)))</f>
        <v/>
      </c>
      <c r="F4" s="61" t="str">
        <f>IF($A4="","",(LOOKUP($A4,'Catchment Summary Table'!$A$4:$A$33,'Catchment Summary Table'!$F$4:$F$33)))</f>
        <v/>
      </c>
      <c r="G4" s="286" t="str">
        <f>IF(B4="","",IFERROR('Total WQv Calculation'!$B$4,""))</f>
        <v/>
      </c>
      <c r="H4" s="510" t="str">
        <f>IF($A4="","",(LOOKUP($A4,'Catchment Summary Table'!$A$4:$A$33,'Catchment Summary Table'!$G$4:$G$33)))</f>
        <v/>
      </c>
    </row>
    <row r="5" spans="1:8" ht="30.2" customHeight="1" x14ac:dyDescent="0.25">
      <c r="A5" s="935" t="s">
        <v>549</v>
      </c>
      <c r="B5" s="936"/>
      <c r="C5" s="301"/>
      <c r="D5" s="239" t="str">
        <f>IF(ISERROR((C4-C5)/B4),"",(C4-C5)/B4)</f>
        <v/>
      </c>
      <c r="E5" s="302" t="str">
        <f>IF(ISERROR(D5*100*0.009+0.05),"",(D5*100*0.009+0.05))</f>
        <v/>
      </c>
      <c r="F5" s="293" t="str">
        <f>IF(ISERROR(E5*B4*G4/12*43560 ),"",(E5*B4*G4/12*43560 ))</f>
        <v/>
      </c>
      <c r="G5" s="744" t="s">
        <v>550</v>
      </c>
      <c r="H5" s="916"/>
    </row>
    <row r="6" spans="1:8" ht="15" customHeight="1" x14ac:dyDescent="0.25">
      <c r="A6" s="907" t="str">
        <f>IF(C4&gt;5,"Exceeds Maximum Drainage Area"," ")</f>
        <v>Exceeds Maximum Drainage Area</v>
      </c>
      <c r="B6" s="908"/>
      <c r="C6" s="908"/>
      <c r="D6" s="908"/>
      <c r="E6" s="908"/>
      <c r="F6" s="908"/>
      <c r="G6" s="908"/>
      <c r="H6" s="909"/>
    </row>
    <row r="7" spans="1:8" ht="15" customHeight="1" x14ac:dyDescent="0.25">
      <c r="A7" s="977" t="s">
        <v>63</v>
      </c>
      <c r="B7" s="978"/>
      <c r="C7" s="978"/>
      <c r="D7" s="978"/>
      <c r="E7" s="978"/>
      <c r="F7" s="978"/>
      <c r="G7" s="978"/>
      <c r="H7" s="979"/>
    </row>
    <row r="8" spans="1:8" ht="15" customHeight="1" x14ac:dyDescent="0.25">
      <c r="A8" s="937" t="s">
        <v>103</v>
      </c>
      <c r="B8" s="938"/>
      <c r="C8" s="938"/>
      <c r="D8" s="938"/>
      <c r="E8" s="938"/>
      <c r="F8" s="938"/>
      <c r="G8" s="938"/>
      <c r="H8" s="939"/>
    </row>
    <row r="9" spans="1:8" ht="15" customHeight="1" x14ac:dyDescent="0.25">
      <c r="A9" s="834" t="s">
        <v>316</v>
      </c>
      <c r="B9" s="834"/>
      <c r="C9" s="834"/>
      <c r="D9" s="285"/>
      <c r="E9" s="534" t="s">
        <v>525</v>
      </c>
      <c r="F9" s="987" t="str">
        <f>IF(D9="","",IF(D9&gt;=0.5,"Okay","Error, Infiltration rate is too low, practice is not appropriate"))</f>
        <v/>
      </c>
      <c r="G9" s="988"/>
      <c r="H9" s="989"/>
    </row>
    <row r="10" spans="1:8" ht="45.2" customHeight="1" x14ac:dyDescent="0.25">
      <c r="A10" s="834" t="s">
        <v>318</v>
      </c>
      <c r="B10" s="834"/>
      <c r="C10" s="834"/>
      <c r="D10" s="533" t="str">
        <f>IF(D9&gt;5, "100%", IF(D9&gt;2, "50%", "25%"))</f>
        <v>25%</v>
      </c>
      <c r="E10" s="534" t="s">
        <v>319</v>
      </c>
      <c r="F10" s="984" t="s">
        <v>453</v>
      </c>
      <c r="G10" s="985"/>
      <c r="H10" s="986"/>
    </row>
    <row r="11" spans="1:8" ht="15" customHeight="1" x14ac:dyDescent="0.25">
      <c r="A11" s="844" t="s">
        <v>439</v>
      </c>
      <c r="B11" s="844"/>
      <c r="C11" s="844"/>
      <c r="D11" s="514" t="str">
        <f>IF(ISERROR(+F4*D10),"",+F4*D10)</f>
        <v/>
      </c>
      <c r="E11" s="516" t="s">
        <v>207</v>
      </c>
      <c r="F11" s="656"/>
      <c r="G11" s="657"/>
      <c r="H11" s="658"/>
    </row>
    <row r="12" spans="1:8" ht="15" customHeight="1" x14ac:dyDescent="0.25">
      <c r="A12" s="844" t="s">
        <v>440</v>
      </c>
      <c r="B12" s="844"/>
      <c r="C12" s="844"/>
      <c r="D12" s="283"/>
      <c r="E12" s="523" t="s">
        <v>207</v>
      </c>
      <c r="F12" s="981" t="str">
        <f>IF(D12&lt;D11,"Inadequate Pretreatment Provided"," ")</f>
        <v xml:space="preserve"> </v>
      </c>
      <c r="G12" s="982"/>
      <c r="H12" s="983"/>
    </row>
    <row r="13" spans="1:8" ht="45.2" customHeight="1" x14ac:dyDescent="0.25">
      <c r="A13" s="723" t="s">
        <v>451</v>
      </c>
      <c r="B13" s="723"/>
      <c r="C13" s="723"/>
      <c r="D13" s="998"/>
      <c r="E13" s="999"/>
      <c r="F13" s="995" t="s">
        <v>452</v>
      </c>
      <c r="G13" s="996"/>
      <c r="H13" s="997"/>
    </row>
    <row r="14" spans="1:8" x14ac:dyDescent="0.25">
      <c r="A14" s="977" t="s">
        <v>444</v>
      </c>
      <c r="B14" s="978"/>
      <c r="C14" s="978"/>
      <c r="D14" s="978"/>
      <c r="E14" s="978"/>
      <c r="F14" s="978"/>
      <c r="G14" s="978"/>
      <c r="H14" s="979"/>
    </row>
    <row r="15" spans="1:8" x14ac:dyDescent="0.25">
      <c r="A15" s="670" t="s">
        <v>324</v>
      </c>
      <c r="B15" s="671"/>
      <c r="C15" s="671"/>
      <c r="D15" s="671"/>
      <c r="E15" s="671"/>
      <c r="F15" s="671"/>
      <c r="G15" s="671"/>
      <c r="H15" s="672"/>
    </row>
    <row r="16" spans="1:8" ht="15" customHeight="1" x14ac:dyDescent="0.25">
      <c r="A16" s="752" t="s">
        <v>105</v>
      </c>
      <c r="B16" s="752"/>
      <c r="C16" s="510" t="s">
        <v>144</v>
      </c>
      <c r="D16" s="545" t="str">
        <f>F5</f>
        <v/>
      </c>
      <c r="E16" s="516" t="s">
        <v>207</v>
      </c>
      <c r="F16" s="652"/>
      <c r="G16" s="899"/>
      <c r="H16" s="653"/>
    </row>
    <row r="17" spans="1:8" ht="15" customHeight="1" x14ac:dyDescent="0.25">
      <c r="A17" s="752" t="s">
        <v>321</v>
      </c>
      <c r="B17" s="752"/>
      <c r="C17" s="510" t="s">
        <v>146</v>
      </c>
      <c r="D17" s="145"/>
      <c r="E17" s="516"/>
      <c r="F17" s="652"/>
      <c r="G17" s="899"/>
      <c r="H17" s="653"/>
    </row>
    <row r="18" spans="1:8" ht="15" customHeight="1" x14ac:dyDescent="0.25">
      <c r="A18" s="752" t="s">
        <v>190</v>
      </c>
      <c r="B18" s="752"/>
      <c r="C18" s="510" t="s">
        <v>149</v>
      </c>
      <c r="D18" s="145"/>
      <c r="E18" s="516" t="s">
        <v>12</v>
      </c>
      <c r="F18" s="656" t="s">
        <v>461</v>
      </c>
      <c r="G18" s="657"/>
      <c r="H18" s="658"/>
    </row>
    <row r="19" spans="1:8" ht="15" customHeight="1" x14ac:dyDescent="0.25">
      <c r="A19" s="752" t="s">
        <v>457</v>
      </c>
      <c r="B19" s="752"/>
      <c r="C19" s="510"/>
      <c r="D19" s="145"/>
      <c r="E19" s="516" t="s">
        <v>12</v>
      </c>
      <c r="F19" s="652" t="s">
        <v>460</v>
      </c>
      <c r="G19" s="899"/>
      <c r="H19" s="653"/>
    </row>
    <row r="20" spans="1:8" ht="15" customHeight="1" x14ac:dyDescent="0.25">
      <c r="A20" s="752" t="s">
        <v>442</v>
      </c>
      <c r="B20" s="752"/>
      <c r="C20" s="510" t="s">
        <v>141</v>
      </c>
      <c r="D20" s="231" t="str">
        <f>IF(ISERROR(IF(D16=0,0,D16/(D18*D17))),"",IF(D16=0,0,D16/(D18*D17)))</f>
        <v/>
      </c>
      <c r="E20" s="516" t="s">
        <v>210</v>
      </c>
      <c r="F20" s="652"/>
      <c r="G20" s="899"/>
      <c r="H20" s="653"/>
    </row>
    <row r="21" spans="1:8" ht="15" customHeight="1" x14ac:dyDescent="0.25">
      <c r="A21" s="752" t="s">
        <v>116</v>
      </c>
      <c r="B21" s="752"/>
      <c r="C21" s="510" t="s">
        <v>437</v>
      </c>
      <c r="D21" s="103"/>
      <c r="E21" s="516" t="s">
        <v>12</v>
      </c>
      <c r="F21" s="968" t="s">
        <v>469</v>
      </c>
      <c r="G21" s="969"/>
      <c r="H21" s="970"/>
    </row>
    <row r="22" spans="1:8" ht="15" customHeight="1" x14ac:dyDescent="0.25">
      <c r="A22" s="752" t="s">
        <v>9</v>
      </c>
      <c r="B22" s="752"/>
      <c r="C22" s="510" t="s">
        <v>438</v>
      </c>
      <c r="D22" s="509"/>
      <c r="E22" s="516" t="s">
        <v>12</v>
      </c>
      <c r="F22" s="968" t="s">
        <v>469</v>
      </c>
      <c r="G22" s="969"/>
      <c r="H22" s="970"/>
    </row>
    <row r="23" spans="1:8" ht="15" customHeight="1" x14ac:dyDescent="0.25">
      <c r="A23" s="752" t="s">
        <v>417</v>
      </c>
      <c r="B23" s="752"/>
      <c r="C23" s="507"/>
      <c r="D23" s="405">
        <f>IF(D21=0,0,D21*D22)</f>
        <v>0</v>
      </c>
      <c r="E23" s="516" t="s">
        <v>210</v>
      </c>
      <c r="F23" s="971" t="str">
        <f>IF(D21="","",IF(D23&gt;=D20,"Okay","Insufficient Surface Area"))</f>
        <v/>
      </c>
      <c r="G23" s="972"/>
      <c r="H23" s="973"/>
    </row>
    <row r="24" spans="1:8" ht="30.2" customHeight="1" x14ac:dyDescent="0.25">
      <c r="A24" s="910" t="s">
        <v>309</v>
      </c>
      <c r="B24" s="910"/>
      <c r="C24" s="507"/>
      <c r="D24" s="545">
        <f>+D23*D18*D17</f>
        <v>0</v>
      </c>
      <c r="E24" s="65" t="s">
        <v>207</v>
      </c>
      <c r="F24" s="974" t="s">
        <v>617</v>
      </c>
      <c r="G24" s="975"/>
      <c r="H24" s="976"/>
    </row>
    <row r="25" spans="1:8" ht="15" customHeight="1" x14ac:dyDescent="0.25">
      <c r="A25" s="980" t="s">
        <v>88</v>
      </c>
      <c r="B25" s="980"/>
      <c r="C25" s="980"/>
      <c r="D25" s="980"/>
      <c r="E25" s="980"/>
      <c r="F25" s="980"/>
      <c r="G25" s="980"/>
      <c r="H25" s="980"/>
    </row>
    <row r="26" spans="1:8" ht="15" customHeight="1" x14ac:dyDescent="0.25">
      <c r="A26" s="770" t="s">
        <v>23</v>
      </c>
      <c r="B26" s="770"/>
      <c r="C26" s="247">
        <f>IF(0.9*D24&gt;=F5,F5,D24*0.9)</f>
        <v>0</v>
      </c>
      <c r="D26" s="513" t="s">
        <v>249</v>
      </c>
      <c r="E26" s="943" t="s">
        <v>323</v>
      </c>
      <c r="F26" s="943"/>
      <c r="G26" s="943"/>
      <c r="H26" s="943"/>
    </row>
    <row r="27" spans="1:8" ht="30" customHeight="1" x14ac:dyDescent="0.25">
      <c r="A27" s="844" t="s">
        <v>243</v>
      </c>
      <c r="B27" s="844"/>
      <c r="C27" s="514" t="str">
        <f>IF(ISERROR(IF(F5=" ",0,F5-C26)),"",IF(F5=" ",0,F5-C26))</f>
        <v/>
      </c>
      <c r="D27" s="65" t="s">
        <v>207</v>
      </c>
      <c r="E27" s="814" t="s">
        <v>244</v>
      </c>
      <c r="F27" s="814"/>
      <c r="G27" s="814"/>
      <c r="H27" s="814"/>
    </row>
    <row r="28" spans="1:8" x14ac:dyDescent="0.25">
      <c r="A28" s="501"/>
      <c r="B28" s="156"/>
      <c r="C28" s="522"/>
      <c r="D28" s="695"/>
      <c r="E28" s="695"/>
      <c r="F28" s="695"/>
      <c r="G28" s="695"/>
      <c r="H28" s="695"/>
    </row>
    <row r="29" spans="1:8" x14ac:dyDescent="0.25">
      <c r="A29" s="501"/>
      <c r="B29" s="156"/>
      <c r="C29" s="522"/>
      <c r="D29" s="501"/>
      <c r="E29" s="501"/>
      <c r="F29" s="501"/>
      <c r="G29" s="501"/>
      <c r="H29" s="501"/>
    </row>
    <row r="30" spans="1:8" x14ac:dyDescent="0.25">
      <c r="A30" s="501"/>
      <c r="B30" s="156"/>
      <c r="C30" s="522"/>
      <c r="D30" s="501"/>
      <c r="E30" s="501"/>
      <c r="F30" s="501"/>
      <c r="G30" s="501"/>
      <c r="H30" s="501"/>
    </row>
    <row r="31" spans="1:8" x14ac:dyDescent="0.25">
      <c r="A31" s="501"/>
      <c r="B31" s="156"/>
      <c r="C31" s="522"/>
      <c r="D31" s="501"/>
      <c r="E31" s="501"/>
      <c r="F31" s="501"/>
      <c r="G31" s="501"/>
      <c r="H31" s="501"/>
    </row>
    <row r="32" spans="1:8" x14ac:dyDescent="0.25">
      <c r="A32" s="501"/>
      <c r="B32" s="156"/>
      <c r="C32" s="522"/>
      <c r="D32" s="501"/>
      <c r="E32" s="501"/>
      <c r="F32" s="501"/>
      <c r="G32" s="501"/>
      <c r="H32" s="501"/>
    </row>
    <row r="33" spans="1:8" ht="15" customHeight="1" x14ac:dyDescent="0.25">
      <c r="A33" s="561" t="s">
        <v>600</v>
      </c>
      <c r="B33" s="562" t="str">
        <f>IF('Total WQv Calculation'!$B$3="","",'Total WQv Calculation'!$B$3)</f>
        <v/>
      </c>
      <c r="C33" s="522"/>
      <c r="D33" s="501"/>
      <c r="E33" s="501"/>
      <c r="F33" s="501"/>
      <c r="G33" s="501"/>
      <c r="H33" s="501"/>
    </row>
    <row r="34" spans="1:8" ht="30.2" customHeight="1" x14ac:dyDescent="0.25">
      <c r="A34" s="730" t="s">
        <v>79</v>
      </c>
      <c r="B34" s="731"/>
      <c r="C34" s="731"/>
      <c r="D34" s="731"/>
      <c r="E34" s="731"/>
      <c r="F34" s="731"/>
      <c r="G34" s="731"/>
      <c r="H34" s="732"/>
    </row>
    <row r="35" spans="1:8" ht="46.7" customHeight="1" x14ac:dyDescent="0.25">
      <c r="A35" s="504" t="s">
        <v>493</v>
      </c>
      <c r="B35" s="505" t="s">
        <v>610</v>
      </c>
      <c r="C35" s="578" t="s">
        <v>611</v>
      </c>
      <c r="D35" s="505" t="s">
        <v>612</v>
      </c>
      <c r="E35" s="505" t="s">
        <v>7</v>
      </c>
      <c r="F35" s="505" t="s">
        <v>613</v>
      </c>
      <c r="G35" s="505" t="s">
        <v>614</v>
      </c>
      <c r="H35" s="506" t="s">
        <v>29</v>
      </c>
    </row>
    <row r="36" spans="1:8" ht="30.2" customHeight="1" x14ac:dyDescent="0.25">
      <c r="A36" s="509"/>
      <c r="B36" s="61" t="str">
        <f>IF($A36="","",(LOOKUP($A36,'Catchment Summary Table'!$A$4:$A$33,'Catchment Summary Table'!$B$4:$B$33)))</f>
        <v/>
      </c>
      <c r="C36" s="61" t="str">
        <f>IF($A36="","",(LOOKUP($A36,'Catchment Summary Table'!$A$4:$A$33,'Catchment Summary Table'!$C$4:$C$33)))</f>
        <v/>
      </c>
      <c r="D36" s="61" t="str">
        <f>IF($A36="","",(LOOKUP($A36,'Catchment Summary Table'!$A$4:$A$33,'Catchment Summary Table'!$D$4:$D$33)))</f>
        <v/>
      </c>
      <c r="E36" s="61" t="str">
        <f>IF($A36="","",(LOOKUP($A36,'Catchment Summary Table'!$A$4:$A$33,'Catchment Summary Table'!$E$4:$E$33)))</f>
        <v/>
      </c>
      <c r="F36" s="61" t="str">
        <f>IF($A36="","",(LOOKUP($A36,'Catchment Summary Table'!$A$4:$A$33,'Catchment Summary Table'!$F$4:$F$33)))</f>
        <v/>
      </c>
      <c r="G36" s="286" t="str">
        <f>IF(B36="","",IFERROR('Total WQv Calculation'!$B$4,""))</f>
        <v/>
      </c>
      <c r="H36" s="510" t="str">
        <f>IF($A36="","",(LOOKUP($A36,'Catchment Summary Table'!$A$4:$A$33,'Catchment Summary Table'!$G$4:$G$33)))</f>
        <v/>
      </c>
    </row>
    <row r="37" spans="1:8" ht="15" customHeight="1" x14ac:dyDescent="0.25">
      <c r="A37" s="935" t="s">
        <v>549</v>
      </c>
      <c r="B37" s="936"/>
      <c r="C37" s="301"/>
      <c r="D37" s="239" t="str">
        <f>IF(ISERROR((C36-C37)/B36),"",(C36-C37)/B36)</f>
        <v/>
      </c>
      <c r="E37" s="302" t="str">
        <f>IF(ISERROR(D37*100*0.009+0.05),"",(D37*100*0.009+0.05))</f>
        <v/>
      </c>
      <c r="F37" s="293" t="str">
        <f>IF(ISERROR(E37*B36*G36/12*43560 ),"",(E37*B36*G36/12*43560 ))</f>
        <v/>
      </c>
      <c r="G37" s="744" t="s">
        <v>550</v>
      </c>
      <c r="H37" s="916"/>
    </row>
    <row r="38" spans="1:8" ht="15" customHeight="1" x14ac:dyDescent="0.25">
      <c r="A38" s="907" t="str">
        <f>IF(C36&gt;5,"Exceeds Maximum Drainage Area"," ")</f>
        <v>Exceeds Maximum Drainage Area</v>
      </c>
      <c r="B38" s="908"/>
      <c r="C38" s="908"/>
      <c r="D38" s="908"/>
      <c r="E38" s="908"/>
      <c r="F38" s="908"/>
      <c r="G38" s="908"/>
      <c r="H38" s="909"/>
    </row>
    <row r="39" spans="1:8" ht="15" customHeight="1" x14ac:dyDescent="0.25">
      <c r="A39" s="977" t="s">
        <v>63</v>
      </c>
      <c r="B39" s="978"/>
      <c r="C39" s="978"/>
      <c r="D39" s="978"/>
      <c r="E39" s="978"/>
      <c r="F39" s="978"/>
      <c r="G39" s="978"/>
      <c r="H39" s="979"/>
    </row>
    <row r="40" spans="1:8" ht="15" customHeight="1" x14ac:dyDescent="0.25">
      <c r="A40" s="937" t="s">
        <v>103</v>
      </c>
      <c r="B40" s="938"/>
      <c r="C40" s="938"/>
      <c r="D40" s="938"/>
      <c r="E40" s="938"/>
      <c r="F40" s="938"/>
      <c r="G40" s="938"/>
      <c r="H40" s="939"/>
    </row>
    <row r="41" spans="1:8" ht="15" customHeight="1" x14ac:dyDescent="0.25">
      <c r="A41" s="834" t="s">
        <v>316</v>
      </c>
      <c r="B41" s="834"/>
      <c r="C41" s="834"/>
      <c r="D41" s="285"/>
      <c r="E41" s="534" t="s">
        <v>525</v>
      </c>
      <c r="F41" s="987" t="str">
        <f>IF(D41="","",IF(D41&gt;=0.5,"Okay","Error, Infiltration rate is too low, practice is not appropriate"))</f>
        <v/>
      </c>
      <c r="G41" s="988"/>
      <c r="H41" s="989"/>
    </row>
    <row r="42" spans="1:8" ht="45.2" customHeight="1" x14ac:dyDescent="0.25">
      <c r="A42" s="834" t="s">
        <v>318</v>
      </c>
      <c r="B42" s="834"/>
      <c r="C42" s="834"/>
      <c r="D42" s="533" t="str">
        <f>IF(D41&gt;5, "100%", IF(D41&gt;2, "50%", "25%"))</f>
        <v>25%</v>
      </c>
      <c r="E42" s="534" t="s">
        <v>319</v>
      </c>
      <c r="F42" s="984" t="s">
        <v>453</v>
      </c>
      <c r="G42" s="985"/>
      <c r="H42" s="986"/>
    </row>
    <row r="43" spans="1:8" ht="15" customHeight="1" x14ac:dyDescent="0.25">
      <c r="A43" s="844" t="s">
        <v>439</v>
      </c>
      <c r="B43" s="844"/>
      <c r="C43" s="844"/>
      <c r="D43" s="514" t="str">
        <f>IF(ISERROR(+F36*D42),"",+F36*D42)</f>
        <v/>
      </c>
      <c r="E43" s="516" t="s">
        <v>207</v>
      </c>
      <c r="F43" s="656"/>
      <c r="G43" s="657"/>
      <c r="H43" s="658"/>
    </row>
    <row r="44" spans="1:8" ht="15" customHeight="1" x14ac:dyDescent="0.25">
      <c r="A44" s="844" t="s">
        <v>440</v>
      </c>
      <c r="B44" s="844"/>
      <c r="C44" s="844"/>
      <c r="D44" s="283"/>
      <c r="E44" s="523" t="s">
        <v>207</v>
      </c>
      <c r="F44" s="981" t="str">
        <f>IF(D44&lt;D43,"Inadequate Pretreatment Provided"," ")</f>
        <v xml:space="preserve"> </v>
      </c>
      <c r="G44" s="982"/>
      <c r="H44" s="983"/>
    </row>
    <row r="45" spans="1:8" ht="45.2" customHeight="1" x14ac:dyDescent="0.25">
      <c r="A45" s="723" t="s">
        <v>451</v>
      </c>
      <c r="B45" s="723"/>
      <c r="C45" s="723"/>
      <c r="D45" s="998"/>
      <c r="E45" s="999"/>
      <c r="F45" s="995" t="s">
        <v>452</v>
      </c>
      <c r="G45" s="996"/>
      <c r="H45" s="997"/>
    </row>
    <row r="46" spans="1:8" ht="15" customHeight="1" x14ac:dyDescent="0.25">
      <c r="A46" s="977" t="s">
        <v>444</v>
      </c>
      <c r="B46" s="978"/>
      <c r="C46" s="978"/>
      <c r="D46" s="978"/>
      <c r="E46" s="978"/>
      <c r="F46" s="978"/>
      <c r="G46" s="978"/>
      <c r="H46" s="979"/>
    </row>
    <row r="47" spans="1:8" ht="15" customHeight="1" x14ac:dyDescent="0.25">
      <c r="A47" s="670" t="s">
        <v>324</v>
      </c>
      <c r="B47" s="671"/>
      <c r="C47" s="671"/>
      <c r="D47" s="671"/>
      <c r="E47" s="671"/>
      <c r="F47" s="671"/>
      <c r="G47" s="671"/>
      <c r="H47" s="672"/>
    </row>
    <row r="48" spans="1:8" ht="15" customHeight="1" x14ac:dyDescent="0.25">
      <c r="A48" s="752" t="s">
        <v>105</v>
      </c>
      <c r="B48" s="752"/>
      <c r="C48" s="510" t="s">
        <v>144</v>
      </c>
      <c r="D48" s="545" t="str">
        <f>F37</f>
        <v/>
      </c>
      <c r="E48" s="516" t="s">
        <v>207</v>
      </c>
      <c r="F48" s="652"/>
      <c r="G48" s="899"/>
      <c r="H48" s="653"/>
    </row>
    <row r="49" spans="1:8" ht="15" customHeight="1" x14ac:dyDescent="0.25">
      <c r="A49" s="752" t="s">
        <v>321</v>
      </c>
      <c r="B49" s="752"/>
      <c r="C49" s="510" t="s">
        <v>146</v>
      </c>
      <c r="D49" s="283"/>
      <c r="E49" s="516"/>
      <c r="F49" s="652"/>
      <c r="G49" s="899"/>
      <c r="H49" s="653"/>
    </row>
    <row r="50" spans="1:8" ht="15" customHeight="1" x14ac:dyDescent="0.25">
      <c r="A50" s="752" t="s">
        <v>190</v>
      </c>
      <c r="B50" s="752"/>
      <c r="C50" s="510" t="s">
        <v>149</v>
      </c>
      <c r="D50" s="145"/>
      <c r="E50" s="516" t="s">
        <v>12</v>
      </c>
      <c r="F50" s="656" t="s">
        <v>461</v>
      </c>
      <c r="G50" s="657"/>
      <c r="H50" s="658"/>
    </row>
    <row r="51" spans="1:8" ht="15" customHeight="1" x14ac:dyDescent="0.25">
      <c r="A51" s="752" t="s">
        <v>457</v>
      </c>
      <c r="B51" s="752"/>
      <c r="C51" s="510"/>
      <c r="D51" s="145"/>
      <c r="E51" s="516" t="s">
        <v>12</v>
      </c>
      <c r="F51" s="652" t="s">
        <v>460</v>
      </c>
      <c r="G51" s="899"/>
      <c r="H51" s="653"/>
    </row>
    <row r="52" spans="1:8" ht="15" customHeight="1" x14ac:dyDescent="0.25">
      <c r="A52" s="752" t="s">
        <v>442</v>
      </c>
      <c r="B52" s="752"/>
      <c r="C52" s="510" t="s">
        <v>141</v>
      </c>
      <c r="D52" s="231" t="str">
        <f>IF(ISERROR(IF(D48=0,0,D48/(D50*D49))),"",IF(D48=0,0,D48/(D50*D49)))</f>
        <v/>
      </c>
      <c r="E52" s="516" t="s">
        <v>210</v>
      </c>
      <c r="F52" s="652"/>
      <c r="G52" s="899"/>
      <c r="H52" s="653"/>
    </row>
    <row r="53" spans="1:8" ht="15" customHeight="1" x14ac:dyDescent="0.25">
      <c r="A53" s="752" t="s">
        <v>116</v>
      </c>
      <c r="B53" s="752"/>
      <c r="C53" s="510" t="s">
        <v>437</v>
      </c>
      <c r="D53" s="103"/>
      <c r="E53" s="516" t="s">
        <v>12</v>
      </c>
      <c r="F53" s="968" t="s">
        <v>469</v>
      </c>
      <c r="G53" s="969"/>
      <c r="H53" s="970"/>
    </row>
    <row r="54" spans="1:8" ht="15" customHeight="1" x14ac:dyDescent="0.25">
      <c r="A54" s="752" t="s">
        <v>9</v>
      </c>
      <c r="B54" s="752"/>
      <c r="C54" s="510" t="s">
        <v>438</v>
      </c>
      <c r="D54" s="509"/>
      <c r="E54" s="516" t="s">
        <v>12</v>
      </c>
      <c r="F54" s="968" t="s">
        <v>469</v>
      </c>
      <c r="G54" s="969"/>
      <c r="H54" s="970"/>
    </row>
    <row r="55" spans="1:8" ht="15" customHeight="1" x14ac:dyDescent="0.25">
      <c r="A55" s="752" t="s">
        <v>417</v>
      </c>
      <c r="B55" s="752"/>
      <c r="C55" s="507"/>
      <c r="D55" s="405">
        <f>IF(D53=0,0,D53*D54)</f>
        <v>0</v>
      </c>
      <c r="E55" s="516" t="s">
        <v>210</v>
      </c>
      <c r="F55" s="971" t="str">
        <f>IF(D53="","",IF(D55&gt;=D52,"Okay","Insufficient Surface Area"))</f>
        <v/>
      </c>
      <c r="G55" s="972"/>
      <c r="H55" s="973"/>
    </row>
    <row r="56" spans="1:8" ht="30.2" customHeight="1" x14ac:dyDescent="0.25">
      <c r="A56" s="990" t="s">
        <v>309</v>
      </c>
      <c r="B56" s="990"/>
      <c r="C56" s="631"/>
      <c r="D56" s="545">
        <f>+D55*D50*D49</f>
        <v>0</v>
      </c>
      <c r="E56" s="65" t="s">
        <v>207</v>
      </c>
      <c r="F56" s="991" t="s">
        <v>617</v>
      </c>
      <c r="G56" s="992"/>
      <c r="H56" s="993"/>
    </row>
    <row r="57" spans="1:8" ht="15" customHeight="1" x14ac:dyDescent="0.25">
      <c r="A57" s="994" t="s">
        <v>88</v>
      </c>
      <c r="B57" s="994"/>
      <c r="C57" s="994"/>
      <c r="D57" s="994"/>
      <c r="E57" s="994"/>
      <c r="F57" s="994"/>
      <c r="G57" s="994"/>
      <c r="H57" s="994"/>
    </row>
    <row r="58" spans="1:8" ht="15" customHeight="1" x14ac:dyDescent="0.25">
      <c r="A58" s="770" t="s">
        <v>23</v>
      </c>
      <c r="B58" s="770"/>
      <c r="C58" s="247">
        <f>IF(0.9*D56&gt;=F37,F37,D56*0.9)</f>
        <v>0</v>
      </c>
      <c r="D58" s="513" t="s">
        <v>249</v>
      </c>
      <c r="E58" s="943" t="s">
        <v>323</v>
      </c>
      <c r="F58" s="943"/>
      <c r="G58" s="943"/>
      <c r="H58" s="943"/>
    </row>
    <row r="59" spans="1:8" ht="30.2" customHeight="1" x14ac:dyDescent="0.25">
      <c r="A59" s="844" t="s">
        <v>243</v>
      </c>
      <c r="B59" s="844"/>
      <c r="C59" s="514" t="str">
        <f>IF(ISERROR(IF(F37=" ",0,F37-C58)),"",IF(F37=" ",0,F37-C58))</f>
        <v/>
      </c>
      <c r="D59" s="65" t="s">
        <v>207</v>
      </c>
      <c r="E59" s="814" t="s">
        <v>244</v>
      </c>
      <c r="F59" s="814"/>
      <c r="G59" s="814"/>
      <c r="H59" s="814"/>
    </row>
    <row r="60" spans="1:8" x14ac:dyDescent="0.25">
      <c r="C60" s="630"/>
    </row>
    <row r="64" spans="1:8" ht="15" customHeight="1" x14ac:dyDescent="0.25">
      <c r="A64" s="561" t="s">
        <v>600</v>
      </c>
      <c r="B64" s="562" t="str">
        <f>IF('Total WQv Calculation'!$B$3="","",'Total WQv Calculation'!$B$3)</f>
        <v/>
      </c>
    </row>
    <row r="65" spans="1:8" ht="30.2" customHeight="1" x14ac:dyDescent="0.25">
      <c r="A65" s="730" t="s">
        <v>79</v>
      </c>
      <c r="B65" s="731"/>
      <c r="C65" s="731"/>
      <c r="D65" s="731"/>
      <c r="E65" s="731"/>
      <c r="F65" s="731"/>
      <c r="G65" s="731"/>
      <c r="H65" s="732"/>
    </row>
    <row r="66" spans="1:8" ht="46.7" customHeight="1" x14ac:dyDescent="0.25">
      <c r="A66" s="504" t="s">
        <v>493</v>
      </c>
      <c r="B66" s="505" t="s">
        <v>610</v>
      </c>
      <c r="C66" s="578" t="s">
        <v>611</v>
      </c>
      <c r="D66" s="505" t="s">
        <v>612</v>
      </c>
      <c r="E66" s="505" t="s">
        <v>7</v>
      </c>
      <c r="F66" s="505" t="s">
        <v>613</v>
      </c>
      <c r="G66" s="505" t="s">
        <v>614</v>
      </c>
      <c r="H66" s="506" t="s">
        <v>29</v>
      </c>
    </row>
    <row r="67" spans="1:8" ht="30.2" customHeight="1" x14ac:dyDescent="0.25">
      <c r="A67" s="509"/>
      <c r="B67" s="61" t="str">
        <f>IF($A67="","",(LOOKUP($A67,'Catchment Summary Table'!$A$4:$A$33,'Catchment Summary Table'!$B$4:$B$33)))</f>
        <v/>
      </c>
      <c r="C67" s="61" t="str">
        <f>IF($A67="","",(LOOKUP($A67,'Catchment Summary Table'!$A$4:$A$33,'Catchment Summary Table'!$C$4:$C$33)))</f>
        <v/>
      </c>
      <c r="D67" s="61" t="str">
        <f>IF($A67="","",(LOOKUP($A67,'Catchment Summary Table'!$A$4:$A$33,'Catchment Summary Table'!$D$4:$D$33)))</f>
        <v/>
      </c>
      <c r="E67" s="61" t="str">
        <f>IF($A67="","",(LOOKUP($A67,'Catchment Summary Table'!$A$4:$A$33,'Catchment Summary Table'!$E$4:$E$33)))</f>
        <v/>
      </c>
      <c r="F67" s="61" t="str">
        <f>IF($A67="","",(LOOKUP($A67,'Catchment Summary Table'!$A$4:$A$33,'Catchment Summary Table'!$F$4:$F$33)))</f>
        <v/>
      </c>
      <c r="G67" s="286" t="str">
        <f>IF(B67="","",IFERROR('Total WQv Calculation'!$B$4,""))</f>
        <v/>
      </c>
      <c r="H67" s="510" t="str">
        <f>IF($A67="","",(LOOKUP($A67,'Catchment Summary Table'!$A$4:$A$33,'Catchment Summary Table'!$G$4:$G$33)))</f>
        <v/>
      </c>
    </row>
    <row r="68" spans="1:8" ht="15" customHeight="1" x14ac:dyDescent="0.25">
      <c r="A68" s="935" t="s">
        <v>549</v>
      </c>
      <c r="B68" s="936"/>
      <c r="C68" s="301"/>
      <c r="D68" s="239" t="str">
        <f>IF(ISERROR((C67-C68)/B67),"",(C67-C68)/B67)</f>
        <v/>
      </c>
      <c r="E68" s="302" t="str">
        <f>IF(ISERROR(D68*100*0.009+0.05),"",(D68*100*0.009+0.05))</f>
        <v/>
      </c>
      <c r="F68" s="293" t="str">
        <f>IF(ISERROR(E68*B67*G67/12*43560 ),"",(E68*B67*G67/12*43560 ))</f>
        <v/>
      </c>
      <c r="G68" s="744" t="s">
        <v>550</v>
      </c>
      <c r="H68" s="916"/>
    </row>
    <row r="69" spans="1:8" ht="15" customHeight="1" x14ac:dyDescent="0.25">
      <c r="A69" s="907" t="str">
        <f>IF(C67&gt;5,"Exceeds Maximum Drainage Area"," ")</f>
        <v>Exceeds Maximum Drainage Area</v>
      </c>
      <c r="B69" s="908"/>
      <c r="C69" s="908"/>
      <c r="D69" s="908"/>
      <c r="E69" s="908"/>
      <c r="F69" s="908"/>
      <c r="G69" s="908"/>
      <c r="H69" s="909"/>
    </row>
    <row r="70" spans="1:8" ht="15" customHeight="1" x14ac:dyDescent="0.25">
      <c r="A70" s="977" t="s">
        <v>63</v>
      </c>
      <c r="B70" s="978"/>
      <c r="C70" s="978"/>
      <c r="D70" s="978"/>
      <c r="E70" s="978"/>
      <c r="F70" s="978"/>
      <c r="G70" s="978"/>
      <c r="H70" s="979"/>
    </row>
    <row r="71" spans="1:8" ht="15" customHeight="1" x14ac:dyDescent="0.25">
      <c r="A71" s="937" t="s">
        <v>103</v>
      </c>
      <c r="B71" s="938"/>
      <c r="C71" s="938"/>
      <c r="D71" s="938"/>
      <c r="E71" s="938"/>
      <c r="F71" s="938"/>
      <c r="G71" s="938"/>
      <c r="H71" s="939"/>
    </row>
    <row r="72" spans="1:8" ht="15" customHeight="1" x14ac:dyDescent="0.25">
      <c r="A72" s="834" t="s">
        <v>316</v>
      </c>
      <c r="B72" s="834"/>
      <c r="C72" s="834"/>
      <c r="D72" s="285"/>
      <c r="E72" s="534" t="s">
        <v>525</v>
      </c>
      <c r="F72" s="987" t="str">
        <f>IF(D72="","",IF(D72&gt;=0.5,"Okay","Error, Infiltration rate is too low, practice is not appropriate"))</f>
        <v/>
      </c>
      <c r="G72" s="988"/>
      <c r="H72" s="989"/>
    </row>
    <row r="73" spans="1:8" ht="45.2" customHeight="1" x14ac:dyDescent="0.25">
      <c r="A73" s="834" t="s">
        <v>318</v>
      </c>
      <c r="B73" s="834"/>
      <c r="C73" s="834"/>
      <c r="D73" s="533" t="str">
        <f>IF(D72&gt;5, "100%", IF(D72&gt;2, "50%", "25%"))</f>
        <v>25%</v>
      </c>
      <c r="E73" s="534" t="s">
        <v>319</v>
      </c>
      <c r="F73" s="984" t="s">
        <v>453</v>
      </c>
      <c r="G73" s="985"/>
      <c r="H73" s="986"/>
    </row>
    <row r="74" spans="1:8" ht="15" customHeight="1" x14ac:dyDescent="0.25">
      <c r="A74" s="844" t="s">
        <v>439</v>
      </c>
      <c r="B74" s="844"/>
      <c r="C74" s="844"/>
      <c r="D74" s="514" t="str">
        <f>IF(ISERROR(+F67*D73),"",+F67*D73)</f>
        <v/>
      </c>
      <c r="E74" s="516" t="s">
        <v>207</v>
      </c>
      <c r="F74" s="656"/>
      <c r="G74" s="657"/>
      <c r="H74" s="658"/>
    </row>
    <row r="75" spans="1:8" ht="15" customHeight="1" x14ac:dyDescent="0.25">
      <c r="A75" s="844" t="s">
        <v>440</v>
      </c>
      <c r="B75" s="844"/>
      <c r="C75" s="844"/>
      <c r="D75" s="283"/>
      <c r="E75" s="523" t="s">
        <v>207</v>
      </c>
      <c r="F75" s="981" t="str">
        <f>IF(D75&lt;D74,"Inadequate Pretreatment Provided"," ")</f>
        <v xml:space="preserve"> </v>
      </c>
      <c r="G75" s="982"/>
      <c r="H75" s="983"/>
    </row>
    <row r="76" spans="1:8" ht="45.2" customHeight="1" x14ac:dyDescent="0.25">
      <c r="A76" s="723" t="s">
        <v>451</v>
      </c>
      <c r="B76" s="723"/>
      <c r="C76" s="723"/>
      <c r="D76" s="998"/>
      <c r="E76" s="999"/>
      <c r="F76" s="995" t="s">
        <v>452</v>
      </c>
      <c r="G76" s="996"/>
      <c r="H76" s="997"/>
    </row>
    <row r="77" spans="1:8" ht="15" customHeight="1" x14ac:dyDescent="0.25">
      <c r="A77" s="977" t="s">
        <v>444</v>
      </c>
      <c r="B77" s="978"/>
      <c r="C77" s="978"/>
      <c r="D77" s="978"/>
      <c r="E77" s="978"/>
      <c r="F77" s="978"/>
      <c r="G77" s="978"/>
      <c r="H77" s="979"/>
    </row>
    <row r="78" spans="1:8" ht="15" customHeight="1" x14ac:dyDescent="0.25">
      <c r="A78" s="670" t="s">
        <v>324</v>
      </c>
      <c r="B78" s="671"/>
      <c r="C78" s="671"/>
      <c r="D78" s="671"/>
      <c r="E78" s="671"/>
      <c r="F78" s="671"/>
      <c r="G78" s="671"/>
      <c r="H78" s="672"/>
    </row>
    <row r="79" spans="1:8" ht="15" customHeight="1" x14ac:dyDescent="0.25">
      <c r="A79" s="752" t="s">
        <v>105</v>
      </c>
      <c r="B79" s="752"/>
      <c r="C79" s="510" t="s">
        <v>144</v>
      </c>
      <c r="D79" s="545" t="str">
        <f>F68</f>
        <v/>
      </c>
      <c r="E79" s="516" t="s">
        <v>207</v>
      </c>
      <c r="F79" s="652"/>
      <c r="G79" s="899"/>
      <c r="H79" s="653"/>
    </row>
    <row r="80" spans="1:8" ht="15" customHeight="1" x14ac:dyDescent="0.25">
      <c r="A80" s="752" t="s">
        <v>321</v>
      </c>
      <c r="B80" s="752"/>
      <c r="C80" s="510" t="s">
        <v>146</v>
      </c>
      <c r="D80" s="145"/>
      <c r="E80" s="516"/>
      <c r="F80" s="652"/>
      <c r="G80" s="899"/>
      <c r="H80" s="653"/>
    </row>
    <row r="81" spans="1:8" ht="15" customHeight="1" x14ac:dyDescent="0.25">
      <c r="A81" s="752" t="s">
        <v>190</v>
      </c>
      <c r="B81" s="752"/>
      <c r="C81" s="510" t="s">
        <v>149</v>
      </c>
      <c r="D81" s="145"/>
      <c r="E81" s="516" t="s">
        <v>12</v>
      </c>
      <c r="F81" s="656" t="s">
        <v>461</v>
      </c>
      <c r="G81" s="657"/>
      <c r="H81" s="658"/>
    </row>
    <row r="82" spans="1:8" ht="15" customHeight="1" x14ac:dyDescent="0.25">
      <c r="A82" s="752" t="s">
        <v>457</v>
      </c>
      <c r="B82" s="752"/>
      <c r="C82" s="510"/>
      <c r="D82" s="145"/>
      <c r="E82" s="516" t="s">
        <v>12</v>
      </c>
      <c r="F82" s="652" t="s">
        <v>460</v>
      </c>
      <c r="G82" s="899"/>
      <c r="H82" s="653"/>
    </row>
    <row r="83" spans="1:8" ht="15" customHeight="1" x14ac:dyDescent="0.25">
      <c r="A83" s="752" t="s">
        <v>442</v>
      </c>
      <c r="B83" s="752"/>
      <c r="C83" s="510" t="s">
        <v>141</v>
      </c>
      <c r="D83" s="231" t="str">
        <f>IF(ISERROR(IF(D79=0,0,D79/(D81*D80))),"",IF(D79=0,0,D79/(D81*D80)))</f>
        <v/>
      </c>
      <c r="E83" s="516" t="s">
        <v>210</v>
      </c>
      <c r="F83" s="652"/>
      <c r="G83" s="899"/>
      <c r="H83" s="653"/>
    </row>
    <row r="84" spans="1:8" ht="15" customHeight="1" x14ac:dyDescent="0.25">
      <c r="A84" s="752" t="s">
        <v>116</v>
      </c>
      <c r="B84" s="752"/>
      <c r="C84" s="510" t="s">
        <v>437</v>
      </c>
      <c r="D84" s="103"/>
      <c r="E84" s="516" t="s">
        <v>12</v>
      </c>
      <c r="F84" s="968" t="s">
        <v>469</v>
      </c>
      <c r="G84" s="969"/>
      <c r="H84" s="970"/>
    </row>
    <row r="85" spans="1:8" ht="15" customHeight="1" x14ac:dyDescent="0.25">
      <c r="A85" s="752" t="s">
        <v>9</v>
      </c>
      <c r="B85" s="752"/>
      <c r="C85" s="510" t="s">
        <v>438</v>
      </c>
      <c r="D85" s="509"/>
      <c r="E85" s="516" t="s">
        <v>12</v>
      </c>
      <c r="F85" s="968" t="s">
        <v>469</v>
      </c>
      <c r="G85" s="969"/>
      <c r="H85" s="970"/>
    </row>
    <row r="86" spans="1:8" ht="15" customHeight="1" x14ac:dyDescent="0.25">
      <c r="A86" s="752" t="s">
        <v>417</v>
      </c>
      <c r="B86" s="752"/>
      <c r="C86" s="507"/>
      <c r="D86" s="405">
        <f>IF(D84=0,0,D84*D85)</f>
        <v>0</v>
      </c>
      <c r="E86" s="516" t="s">
        <v>210</v>
      </c>
      <c r="F86" s="971" t="str">
        <f>IF(D84="","",IF(D86&gt;=D83,"Okay","Insufficient Surface Area"))</f>
        <v/>
      </c>
      <c r="G86" s="972"/>
      <c r="H86" s="973"/>
    </row>
    <row r="87" spans="1:8" ht="30.2" customHeight="1" x14ac:dyDescent="0.25">
      <c r="A87" s="910" t="s">
        <v>309</v>
      </c>
      <c r="B87" s="910"/>
      <c r="C87" s="507"/>
      <c r="D87" s="545">
        <f>+D86*D81*D80</f>
        <v>0</v>
      </c>
      <c r="E87" s="65" t="s">
        <v>207</v>
      </c>
      <c r="F87" s="974" t="s">
        <v>441</v>
      </c>
      <c r="G87" s="975"/>
      <c r="H87" s="976"/>
    </row>
    <row r="88" spans="1:8" ht="15" customHeight="1" x14ac:dyDescent="0.25">
      <c r="A88" s="980" t="s">
        <v>88</v>
      </c>
      <c r="B88" s="980"/>
      <c r="C88" s="980"/>
      <c r="D88" s="980"/>
      <c r="E88" s="980"/>
      <c r="F88" s="980"/>
      <c r="G88" s="980"/>
      <c r="H88" s="980"/>
    </row>
    <row r="89" spans="1:8" ht="15" customHeight="1" x14ac:dyDescent="0.25">
      <c r="A89" s="770" t="s">
        <v>23</v>
      </c>
      <c r="B89" s="770"/>
      <c r="C89" s="247">
        <f>IF(0.9*D87&gt;=F68,F68,D87*0.9)</f>
        <v>0</v>
      </c>
      <c r="D89" s="513" t="s">
        <v>249</v>
      </c>
      <c r="E89" s="943" t="s">
        <v>323</v>
      </c>
      <c r="F89" s="943"/>
      <c r="G89" s="943"/>
      <c r="H89" s="943"/>
    </row>
    <row r="90" spans="1:8" ht="30.2" customHeight="1" x14ac:dyDescent="0.25">
      <c r="A90" s="844" t="s">
        <v>243</v>
      </c>
      <c r="B90" s="844"/>
      <c r="C90" s="514" t="str">
        <f>IF(ISERROR(IF(F68=" ",0,F68-C89)),"",IF(F68=" ",0,F68-C89))</f>
        <v/>
      </c>
      <c r="D90" s="65" t="s">
        <v>207</v>
      </c>
      <c r="E90" s="814" t="s">
        <v>244</v>
      </c>
      <c r="F90" s="814"/>
      <c r="G90" s="814"/>
      <c r="H90" s="814"/>
    </row>
    <row r="95" spans="1:8" ht="15" customHeight="1" x14ac:dyDescent="0.25">
      <c r="A95" s="561" t="s">
        <v>600</v>
      </c>
      <c r="B95" s="562" t="str">
        <f>IF('Total WQv Calculation'!$B$3="","",'Total WQv Calculation'!$B$3)</f>
        <v/>
      </c>
    </row>
    <row r="96" spans="1:8" ht="30.2" customHeight="1" x14ac:dyDescent="0.25">
      <c r="A96" s="730" t="s">
        <v>79</v>
      </c>
      <c r="B96" s="731"/>
      <c r="C96" s="731"/>
      <c r="D96" s="731"/>
      <c r="E96" s="731"/>
      <c r="F96" s="731"/>
      <c r="G96" s="731"/>
      <c r="H96" s="732"/>
    </row>
    <row r="97" spans="1:8" ht="46.7" customHeight="1" x14ac:dyDescent="0.25">
      <c r="A97" s="504" t="s">
        <v>493</v>
      </c>
      <c r="B97" s="505" t="s">
        <v>610</v>
      </c>
      <c r="C97" s="578" t="s">
        <v>611</v>
      </c>
      <c r="D97" s="505" t="s">
        <v>612</v>
      </c>
      <c r="E97" s="505" t="s">
        <v>7</v>
      </c>
      <c r="F97" s="505" t="s">
        <v>613</v>
      </c>
      <c r="G97" s="505" t="s">
        <v>614</v>
      </c>
      <c r="H97" s="506" t="s">
        <v>29</v>
      </c>
    </row>
    <row r="98" spans="1:8" ht="30.2" customHeight="1" x14ac:dyDescent="0.25">
      <c r="A98" s="509"/>
      <c r="B98" s="61" t="str">
        <f>IF($A98="","",(LOOKUP($A98,'Catchment Summary Table'!$A$4:$A$33,'Catchment Summary Table'!$B$4:$B$33)))</f>
        <v/>
      </c>
      <c r="C98" s="61" t="str">
        <f>IF($A98="","",(LOOKUP($A98,'Catchment Summary Table'!$A$4:$A$33,'Catchment Summary Table'!$C$4:$C$33)))</f>
        <v/>
      </c>
      <c r="D98" s="61" t="str">
        <f>IF($A98="","",(LOOKUP($A98,'Catchment Summary Table'!$A$4:$A$33,'Catchment Summary Table'!$D$4:$D$33)))</f>
        <v/>
      </c>
      <c r="E98" s="61" t="str">
        <f>IF($A98="","",(LOOKUP($A98,'Catchment Summary Table'!$A$4:$A$33,'Catchment Summary Table'!$E$4:$E$33)))</f>
        <v/>
      </c>
      <c r="F98" s="61" t="str">
        <f>IF($A98="","",(LOOKUP($A98,'Catchment Summary Table'!$A$4:$A$33,'Catchment Summary Table'!$F$4:$F$33)))</f>
        <v/>
      </c>
      <c r="G98" s="286" t="str">
        <f>IF(B98="","",IFERROR('Total WQv Calculation'!$B$4,""))</f>
        <v/>
      </c>
      <c r="H98" s="510" t="str">
        <f>IF($A98="","",(LOOKUP($A98,'Catchment Summary Table'!$A$4:$A$33,'Catchment Summary Table'!$G$4:$G$33)))</f>
        <v/>
      </c>
    </row>
    <row r="99" spans="1:8" ht="15" customHeight="1" x14ac:dyDescent="0.25">
      <c r="A99" s="935" t="s">
        <v>549</v>
      </c>
      <c r="B99" s="936"/>
      <c r="C99" s="301"/>
      <c r="D99" s="239" t="str">
        <f>IF(ISERROR((C98-C99)/B98),"",(C98-C99)/B98)</f>
        <v/>
      </c>
      <c r="E99" s="302" t="str">
        <f>IF(ISERROR(D99*100*0.009+0.05),"",(D99*100*0.009+0.05))</f>
        <v/>
      </c>
      <c r="F99" s="293" t="str">
        <f>IF(ISERROR(E99*B98*G98/12*43560 ),"",(E99*B98*G98/12*43560 ))</f>
        <v/>
      </c>
      <c r="G99" s="744" t="s">
        <v>550</v>
      </c>
      <c r="H99" s="916"/>
    </row>
    <row r="100" spans="1:8" ht="15" customHeight="1" x14ac:dyDescent="0.25">
      <c r="A100" s="907" t="str">
        <f>IF(C98&gt;5,"Exceeds Maximum Drainage Area"," ")</f>
        <v>Exceeds Maximum Drainage Area</v>
      </c>
      <c r="B100" s="908"/>
      <c r="C100" s="908"/>
      <c r="D100" s="908"/>
      <c r="E100" s="908"/>
      <c r="F100" s="908"/>
      <c r="G100" s="908"/>
      <c r="H100" s="909"/>
    </row>
    <row r="101" spans="1:8" ht="15" customHeight="1" x14ac:dyDescent="0.25">
      <c r="A101" s="977" t="s">
        <v>63</v>
      </c>
      <c r="B101" s="978"/>
      <c r="C101" s="978"/>
      <c r="D101" s="978"/>
      <c r="E101" s="978"/>
      <c r="F101" s="978"/>
      <c r="G101" s="978"/>
      <c r="H101" s="979"/>
    </row>
    <row r="102" spans="1:8" ht="15" customHeight="1" x14ac:dyDescent="0.25">
      <c r="A102" s="937" t="s">
        <v>103</v>
      </c>
      <c r="B102" s="938"/>
      <c r="C102" s="938"/>
      <c r="D102" s="938"/>
      <c r="E102" s="938"/>
      <c r="F102" s="938"/>
      <c r="G102" s="938"/>
      <c r="H102" s="939"/>
    </row>
    <row r="103" spans="1:8" ht="15" customHeight="1" x14ac:dyDescent="0.25">
      <c r="A103" s="834" t="s">
        <v>316</v>
      </c>
      <c r="B103" s="834"/>
      <c r="C103" s="834"/>
      <c r="D103" s="285"/>
      <c r="E103" s="534" t="s">
        <v>525</v>
      </c>
      <c r="F103" s="987" t="str">
        <f>IF(D103="","",IF(D103&gt;=0.5,"Okay","Error, Infiltration rate is too low, practice is not appropriate"))</f>
        <v/>
      </c>
      <c r="G103" s="988"/>
      <c r="H103" s="989"/>
    </row>
    <row r="104" spans="1:8" ht="45.2" customHeight="1" x14ac:dyDescent="0.25">
      <c r="A104" s="834" t="s">
        <v>318</v>
      </c>
      <c r="B104" s="834"/>
      <c r="C104" s="834"/>
      <c r="D104" s="533" t="str">
        <f>IF(D103&gt;5, "100%", IF(D103&gt;2, "50%", "25%"))</f>
        <v>25%</v>
      </c>
      <c r="E104" s="534" t="s">
        <v>319</v>
      </c>
      <c r="F104" s="984" t="s">
        <v>453</v>
      </c>
      <c r="G104" s="985"/>
      <c r="H104" s="986"/>
    </row>
    <row r="105" spans="1:8" ht="15" customHeight="1" x14ac:dyDescent="0.25">
      <c r="A105" s="844" t="s">
        <v>439</v>
      </c>
      <c r="B105" s="844"/>
      <c r="C105" s="844"/>
      <c r="D105" s="514" t="str">
        <f>IF(ISERROR(+F98*D104),"",+F98*D104)</f>
        <v/>
      </c>
      <c r="E105" s="516" t="s">
        <v>207</v>
      </c>
      <c r="F105" s="656"/>
      <c r="G105" s="657"/>
      <c r="H105" s="658"/>
    </row>
    <row r="106" spans="1:8" ht="15" customHeight="1" x14ac:dyDescent="0.25">
      <c r="A106" s="844" t="s">
        <v>440</v>
      </c>
      <c r="B106" s="844"/>
      <c r="C106" s="844"/>
      <c r="D106" s="283"/>
      <c r="E106" s="523" t="s">
        <v>207</v>
      </c>
      <c r="F106" s="981" t="str">
        <f>IF(D106&lt;D105,"Inadequate Pretreatment Provided"," ")</f>
        <v xml:space="preserve"> </v>
      </c>
      <c r="G106" s="982"/>
      <c r="H106" s="983"/>
    </row>
    <row r="107" spans="1:8" ht="45.2" customHeight="1" x14ac:dyDescent="0.25">
      <c r="A107" s="723" t="s">
        <v>451</v>
      </c>
      <c r="B107" s="723"/>
      <c r="C107" s="723"/>
      <c r="D107" s="998"/>
      <c r="E107" s="999"/>
      <c r="F107" s="995" t="s">
        <v>452</v>
      </c>
      <c r="G107" s="996"/>
      <c r="H107" s="997"/>
    </row>
    <row r="108" spans="1:8" ht="15" customHeight="1" x14ac:dyDescent="0.25">
      <c r="A108" s="977" t="s">
        <v>444</v>
      </c>
      <c r="B108" s="978"/>
      <c r="C108" s="978"/>
      <c r="D108" s="978"/>
      <c r="E108" s="978"/>
      <c r="F108" s="978"/>
      <c r="G108" s="978"/>
      <c r="H108" s="979"/>
    </row>
    <row r="109" spans="1:8" ht="15" customHeight="1" x14ac:dyDescent="0.25">
      <c r="A109" s="670" t="s">
        <v>324</v>
      </c>
      <c r="B109" s="671"/>
      <c r="C109" s="671"/>
      <c r="D109" s="671"/>
      <c r="E109" s="671"/>
      <c r="F109" s="671"/>
      <c r="G109" s="671"/>
      <c r="H109" s="672"/>
    </row>
    <row r="110" spans="1:8" ht="15" customHeight="1" x14ac:dyDescent="0.25">
      <c r="A110" s="752" t="s">
        <v>105</v>
      </c>
      <c r="B110" s="752"/>
      <c r="C110" s="510" t="s">
        <v>144</v>
      </c>
      <c r="D110" s="545" t="str">
        <f>F99</f>
        <v/>
      </c>
      <c r="E110" s="516" t="s">
        <v>207</v>
      </c>
      <c r="F110" s="652"/>
      <c r="G110" s="899"/>
      <c r="H110" s="653"/>
    </row>
    <row r="111" spans="1:8" ht="15" customHeight="1" x14ac:dyDescent="0.25">
      <c r="A111" s="752" t="s">
        <v>321</v>
      </c>
      <c r="B111" s="752"/>
      <c r="C111" s="510" t="s">
        <v>146</v>
      </c>
      <c r="D111" s="145"/>
      <c r="E111" s="516"/>
      <c r="F111" s="652"/>
      <c r="G111" s="899"/>
      <c r="H111" s="653"/>
    </row>
    <row r="112" spans="1:8" ht="15" customHeight="1" x14ac:dyDescent="0.25">
      <c r="A112" s="752" t="s">
        <v>190</v>
      </c>
      <c r="B112" s="752"/>
      <c r="C112" s="510" t="s">
        <v>149</v>
      </c>
      <c r="D112" s="145"/>
      <c r="E112" s="516" t="s">
        <v>12</v>
      </c>
      <c r="F112" s="656" t="s">
        <v>461</v>
      </c>
      <c r="G112" s="657"/>
      <c r="H112" s="658"/>
    </row>
    <row r="113" spans="1:8" ht="15" customHeight="1" x14ac:dyDescent="0.25">
      <c r="A113" s="752" t="s">
        <v>457</v>
      </c>
      <c r="B113" s="752"/>
      <c r="C113" s="510"/>
      <c r="D113" s="145"/>
      <c r="E113" s="516" t="s">
        <v>12</v>
      </c>
      <c r="F113" s="652" t="s">
        <v>460</v>
      </c>
      <c r="G113" s="899"/>
      <c r="H113" s="653"/>
    </row>
    <row r="114" spans="1:8" ht="15" customHeight="1" x14ac:dyDescent="0.25">
      <c r="A114" s="752" t="s">
        <v>442</v>
      </c>
      <c r="B114" s="752"/>
      <c r="C114" s="510" t="s">
        <v>141</v>
      </c>
      <c r="D114" s="231" t="str">
        <f>IF(ISERROR(IF(D110=0,0,D110/(D112*D111))),"",IF(D110=0,0,D110/(D112*D111)))</f>
        <v/>
      </c>
      <c r="E114" s="516" t="s">
        <v>210</v>
      </c>
      <c r="F114" s="652"/>
      <c r="G114" s="899"/>
      <c r="H114" s="653"/>
    </row>
    <row r="115" spans="1:8" ht="15" customHeight="1" x14ac:dyDescent="0.25">
      <c r="A115" s="752" t="s">
        <v>116</v>
      </c>
      <c r="B115" s="752"/>
      <c r="C115" s="510" t="s">
        <v>437</v>
      </c>
      <c r="D115" s="103"/>
      <c r="E115" s="516" t="s">
        <v>12</v>
      </c>
      <c r="F115" s="968" t="s">
        <v>469</v>
      </c>
      <c r="G115" s="969"/>
      <c r="H115" s="970"/>
    </row>
    <row r="116" spans="1:8" ht="15" customHeight="1" x14ac:dyDescent="0.25">
      <c r="A116" s="752" t="s">
        <v>9</v>
      </c>
      <c r="B116" s="752"/>
      <c r="C116" s="510" t="s">
        <v>438</v>
      </c>
      <c r="D116" s="509"/>
      <c r="E116" s="516" t="s">
        <v>12</v>
      </c>
      <c r="F116" s="968" t="s">
        <v>469</v>
      </c>
      <c r="G116" s="969"/>
      <c r="H116" s="970"/>
    </row>
    <row r="117" spans="1:8" ht="15" customHeight="1" x14ac:dyDescent="0.25">
      <c r="A117" s="752" t="s">
        <v>417</v>
      </c>
      <c r="B117" s="752"/>
      <c r="C117" s="507"/>
      <c r="D117" s="405">
        <f>IF(D115=0,0,D115*D116)</f>
        <v>0</v>
      </c>
      <c r="E117" s="516" t="s">
        <v>210</v>
      </c>
      <c r="F117" s="971" t="str">
        <f>IF(D115="","",IF(D117&gt;=D114,"Okay","Insufficient Surface Area"))</f>
        <v/>
      </c>
      <c r="G117" s="972"/>
      <c r="H117" s="973"/>
    </row>
    <row r="118" spans="1:8" ht="30.2" customHeight="1" x14ac:dyDescent="0.25">
      <c r="A118" s="910" t="s">
        <v>309</v>
      </c>
      <c r="B118" s="910"/>
      <c r="C118" s="507"/>
      <c r="D118" s="545">
        <f>+D117*D112*D111</f>
        <v>0</v>
      </c>
      <c r="E118" s="65" t="s">
        <v>207</v>
      </c>
      <c r="F118" s="974" t="s">
        <v>441</v>
      </c>
      <c r="G118" s="975"/>
      <c r="H118" s="976"/>
    </row>
    <row r="119" spans="1:8" ht="15" customHeight="1" x14ac:dyDescent="0.25">
      <c r="A119" s="980" t="s">
        <v>88</v>
      </c>
      <c r="B119" s="980"/>
      <c r="C119" s="980"/>
      <c r="D119" s="980"/>
      <c r="E119" s="980"/>
      <c r="F119" s="980"/>
      <c r="G119" s="980"/>
      <c r="H119" s="980"/>
    </row>
    <row r="120" spans="1:8" ht="15" customHeight="1" x14ac:dyDescent="0.25">
      <c r="A120" s="770" t="s">
        <v>23</v>
      </c>
      <c r="B120" s="770"/>
      <c r="C120" s="247">
        <f>IF(0.9*D118&gt;=F99,F99,D118*0.9)</f>
        <v>0</v>
      </c>
      <c r="D120" s="513" t="s">
        <v>249</v>
      </c>
      <c r="E120" s="943" t="s">
        <v>323</v>
      </c>
      <c r="F120" s="943"/>
      <c r="G120" s="943"/>
      <c r="H120" s="943"/>
    </row>
    <row r="121" spans="1:8" ht="17.25" x14ac:dyDescent="0.25">
      <c r="A121" s="844" t="s">
        <v>243</v>
      </c>
      <c r="B121" s="844"/>
      <c r="C121" s="514" t="str">
        <f>IF(ISERROR(IF(F99=" ",0,F99-C120)),"",IF(F99=" ",0,F99-C120))</f>
        <v/>
      </c>
      <c r="D121" s="65" t="s">
        <v>207</v>
      </c>
      <c r="E121" s="814" t="s">
        <v>244</v>
      </c>
      <c r="F121" s="814"/>
      <c r="G121" s="814"/>
      <c r="H121" s="814"/>
    </row>
    <row r="132" spans="1:4" ht="15" customHeight="1" x14ac:dyDescent="0.25">
      <c r="A132" s="782" t="s">
        <v>517</v>
      </c>
      <c r="B132" s="782"/>
      <c r="C132" s="782"/>
      <c r="D132" s="315">
        <f>SUM(C26,C58,C89,C120)</f>
        <v>0</v>
      </c>
    </row>
    <row r="133" spans="1:4" ht="15" customHeight="1" x14ac:dyDescent="0.25">
      <c r="A133" s="782" t="s">
        <v>5</v>
      </c>
      <c r="B133" s="782"/>
      <c r="C133" s="782"/>
      <c r="D133" s="315">
        <f>SUM(B4,B36,B67,B98)</f>
        <v>0</v>
      </c>
    </row>
    <row r="134" spans="1:4" ht="15" customHeight="1" x14ac:dyDescent="0.25">
      <c r="A134" s="782" t="s">
        <v>521</v>
      </c>
      <c r="B134" s="782"/>
      <c r="C134" s="782"/>
      <c r="D134" s="581">
        <f>SUM(IFERROR(C4-C5,0),IFERROR(C36-C37,0),IFERROR(C67-C68,0),IFERROR(C98-C99,0))</f>
        <v>0</v>
      </c>
    </row>
    <row r="135" spans="1:4" ht="15" customHeight="1" x14ac:dyDescent="0.25">
      <c r="A135" s="782" t="s">
        <v>300</v>
      </c>
      <c r="B135" s="782"/>
      <c r="C135" s="782"/>
      <c r="D135" s="315">
        <f>SUM(C27,C59,C90,C121)</f>
        <v>0</v>
      </c>
    </row>
    <row r="136" spans="1:4" ht="15" customHeight="1" x14ac:dyDescent="0.25">
      <c r="A136" s="783" t="s">
        <v>553</v>
      </c>
      <c r="B136" s="783"/>
      <c r="C136" s="783"/>
      <c r="D136" s="315">
        <f>SUM(C5,C37,C68,C99)</f>
        <v>0</v>
      </c>
    </row>
  </sheetData>
  <sheetProtection password="C7D7" sheet="1" objects="1" scenarios="1" formatColumns="0" formatRows="0"/>
  <mergeCells count="174">
    <mergeCell ref="A132:C132"/>
    <mergeCell ref="A133:C133"/>
    <mergeCell ref="A134:C134"/>
    <mergeCell ref="A135:C135"/>
    <mergeCell ref="A136:C136"/>
    <mergeCell ref="A121:B121"/>
    <mergeCell ref="E121:H121"/>
    <mergeCell ref="F13:H13"/>
    <mergeCell ref="D13:E13"/>
    <mergeCell ref="D45:E45"/>
    <mergeCell ref="F45:H45"/>
    <mergeCell ref="D76:E76"/>
    <mergeCell ref="F76:H76"/>
    <mergeCell ref="D107:E107"/>
    <mergeCell ref="F107:H107"/>
    <mergeCell ref="F110:H110"/>
    <mergeCell ref="A111:B111"/>
    <mergeCell ref="F111:H111"/>
    <mergeCell ref="A112:B112"/>
    <mergeCell ref="F112:H112"/>
    <mergeCell ref="A106:C106"/>
    <mergeCell ref="A108:H108"/>
    <mergeCell ref="A103:C103"/>
    <mergeCell ref="F103:H103"/>
    <mergeCell ref="A104:C104"/>
    <mergeCell ref="F104:H104"/>
    <mergeCell ref="A105:C105"/>
    <mergeCell ref="F105:H105"/>
    <mergeCell ref="F106:H106"/>
    <mergeCell ref="A5:B5"/>
    <mergeCell ref="G5:H5"/>
    <mergeCell ref="A37:B37"/>
    <mergeCell ref="G37:H37"/>
    <mergeCell ref="A40:H40"/>
    <mergeCell ref="F44:H44"/>
    <mergeCell ref="A45:C45"/>
    <mergeCell ref="A47:H47"/>
    <mergeCell ref="A100:H100"/>
    <mergeCell ref="A101:H101"/>
    <mergeCell ref="A89:B89"/>
    <mergeCell ref="E89:H89"/>
    <mergeCell ref="A96:H96"/>
    <mergeCell ref="A88:H88"/>
    <mergeCell ref="A90:B90"/>
    <mergeCell ref="E90:H90"/>
    <mergeCell ref="A99:B99"/>
    <mergeCell ref="G99:H99"/>
    <mergeCell ref="A102:H102"/>
    <mergeCell ref="A120:B120"/>
    <mergeCell ref="E120:H120"/>
    <mergeCell ref="A116:B116"/>
    <mergeCell ref="F116:H116"/>
    <mergeCell ref="A117:B117"/>
    <mergeCell ref="F117:H117"/>
    <mergeCell ref="A118:B118"/>
    <mergeCell ref="F118:H118"/>
    <mergeCell ref="A119:H119"/>
    <mergeCell ref="A113:B113"/>
    <mergeCell ref="F113:H113"/>
    <mergeCell ref="A114:B114"/>
    <mergeCell ref="F114:H114"/>
    <mergeCell ref="A115:B115"/>
    <mergeCell ref="F115:H115"/>
    <mergeCell ref="A110:B110"/>
    <mergeCell ref="A107:C107"/>
    <mergeCell ref="A109:H109"/>
    <mergeCell ref="A87:B87"/>
    <mergeCell ref="F87:H87"/>
    <mergeCell ref="A79:B79"/>
    <mergeCell ref="F79:H79"/>
    <mergeCell ref="A80:B80"/>
    <mergeCell ref="F80:H80"/>
    <mergeCell ref="A81:B81"/>
    <mergeCell ref="F81:H81"/>
    <mergeCell ref="A75:C75"/>
    <mergeCell ref="A77:H77"/>
    <mergeCell ref="F75:H75"/>
    <mergeCell ref="A76:C76"/>
    <mergeCell ref="A78:H78"/>
    <mergeCell ref="A85:B85"/>
    <mergeCell ref="F85:H85"/>
    <mergeCell ref="A86:B86"/>
    <mergeCell ref="F86:H86"/>
    <mergeCell ref="A82:B82"/>
    <mergeCell ref="F82:H82"/>
    <mergeCell ref="A83:B83"/>
    <mergeCell ref="F83:H83"/>
    <mergeCell ref="A84:B84"/>
    <mergeCell ref="F84:H84"/>
    <mergeCell ref="A72:C72"/>
    <mergeCell ref="F72:H72"/>
    <mergeCell ref="A73:C73"/>
    <mergeCell ref="F73:H73"/>
    <mergeCell ref="A74:C74"/>
    <mergeCell ref="F74:H74"/>
    <mergeCell ref="A69:H69"/>
    <mergeCell ref="A70:H70"/>
    <mergeCell ref="A68:B68"/>
    <mergeCell ref="G68:H68"/>
    <mergeCell ref="A71:H71"/>
    <mergeCell ref="A58:B58"/>
    <mergeCell ref="E58:H58"/>
    <mergeCell ref="A65:H65"/>
    <mergeCell ref="A54:B54"/>
    <mergeCell ref="F54:H54"/>
    <mergeCell ref="A55:B55"/>
    <mergeCell ref="F55:H55"/>
    <mergeCell ref="A56:B56"/>
    <mergeCell ref="F56:H56"/>
    <mergeCell ref="A57:H57"/>
    <mergeCell ref="A59:B59"/>
    <mergeCell ref="E59:H59"/>
    <mergeCell ref="A51:B51"/>
    <mergeCell ref="F51:H51"/>
    <mergeCell ref="A52:B52"/>
    <mergeCell ref="F52:H52"/>
    <mergeCell ref="A53:B53"/>
    <mergeCell ref="F53:H53"/>
    <mergeCell ref="A48:B48"/>
    <mergeCell ref="F48:H48"/>
    <mergeCell ref="A49:B49"/>
    <mergeCell ref="F49:H49"/>
    <mergeCell ref="A50:B50"/>
    <mergeCell ref="F50:H50"/>
    <mergeCell ref="A44:C44"/>
    <mergeCell ref="A46:H46"/>
    <mergeCell ref="A41:C41"/>
    <mergeCell ref="F41:H41"/>
    <mergeCell ref="A42:C42"/>
    <mergeCell ref="F42:H42"/>
    <mergeCell ref="A43:C43"/>
    <mergeCell ref="F43:H43"/>
    <mergeCell ref="A38:H38"/>
    <mergeCell ref="A39:H39"/>
    <mergeCell ref="A2:H2"/>
    <mergeCell ref="A6:H6"/>
    <mergeCell ref="A7:H7"/>
    <mergeCell ref="A8:H8"/>
    <mergeCell ref="D28:H28"/>
    <mergeCell ref="A23:B23"/>
    <mergeCell ref="A24:B24"/>
    <mergeCell ref="A25:H25"/>
    <mergeCell ref="E26:H26"/>
    <mergeCell ref="E27:H27"/>
    <mergeCell ref="A27:B27"/>
    <mergeCell ref="A26:B26"/>
    <mergeCell ref="A13:C13"/>
    <mergeCell ref="A12:C12"/>
    <mergeCell ref="A16:B16"/>
    <mergeCell ref="A17:B17"/>
    <mergeCell ref="A20:B20"/>
    <mergeCell ref="A21:B21"/>
    <mergeCell ref="A10:C10"/>
    <mergeCell ref="A9:C9"/>
    <mergeCell ref="F12:H12"/>
    <mergeCell ref="F11:H11"/>
    <mergeCell ref="F10:H10"/>
    <mergeCell ref="F9:H9"/>
    <mergeCell ref="A11:C11"/>
    <mergeCell ref="A34:H34"/>
    <mergeCell ref="F22:H22"/>
    <mergeCell ref="F23:H23"/>
    <mergeCell ref="F24:H24"/>
    <mergeCell ref="A22:B22"/>
    <mergeCell ref="A18:B18"/>
    <mergeCell ref="A19:B19"/>
    <mergeCell ref="F18:H18"/>
    <mergeCell ref="F19:H19"/>
    <mergeCell ref="A14:H14"/>
    <mergeCell ref="A15:H15"/>
    <mergeCell ref="F16:H16"/>
    <mergeCell ref="F17:H17"/>
    <mergeCell ref="F20:H20"/>
    <mergeCell ref="F21:H21"/>
  </mergeCells>
  <dataValidations count="1">
    <dataValidation type="list" showInputMessage="1" showErrorMessage="1" promptTitle="Choose Area" sqref="A98 A36 A4 A67">
      <formula1>CatchNo</formula1>
    </dataValidation>
  </dataValidations>
  <pageMargins left="0.7" right="0.7" top="0.75" bottom="0.75" header="0.3" footer="0.3"/>
  <pageSetup orientation="portrait" r:id="rId1"/>
  <headerFooter>
    <oddHeader>&amp;C&amp;18Infiltration Trench Worksheet</oddHeader>
  </headerFooter>
  <rowBreaks count="3" manualBreakCount="3">
    <brk id="32" max="16383" man="1"/>
    <brk id="63" max="16383" man="1"/>
    <brk id="9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145"/>
  <sheetViews>
    <sheetView view="pageLayout" workbookViewId="0">
      <selection activeCell="A10" sqref="A10"/>
    </sheetView>
  </sheetViews>
  <sheetFormatPr defaultColWidth="9.140625" defaultRowHeight="15" x14ac:dyDescent="0.25"/>
  <cols>
    <col min="1" max="1" width="12.7109375" style="529" customWidth="1"/>
    <col min="2" max="3" width="11.42578125" style="529" customWidth="1"/>
    <col min="4" max="4" width="10.7109375" style="529" customWidth="1"/>
    <col min="5" max="6" width="7.5703125" style="529" customWidth="1"/>
    <col min="7" max="7" width="12.140625" style="529" customWidth="1"/>
    <col min="8" max="8" width="16.7109375" style="529" customWidth="1"/>
    <col min="9" max="9" width="21.7109375" style="529" bestFit="1" customWidth="1"/>
    <col min="10" max="16384" width="9.140625" style="529"/>
  </cols>
  <sheetData>
    <row r="1" spans="1:10" x14ac:dyDescent="0.25">
      <c r="A1" s="695" t="s">
        <v>151</v>
      </c>
      <c r="B1" s="695"/>
      <c r="C1" s="695"/>
      <c r="D1" s="695"/>
      <c r="E1" s="695"/>
      <c r="F1" s="695"/>
      <c r="G1" s="695"/>
      <c r="H1" s="695"/>
      <c r="I1" s="529" t="s">
        <v>517</v>
      </c>
      <c r="J1" s="315">
        <f>SUM(B21,B61,B103,B145)</f>
        <v>0</v>
      </c>
    </row>
    <row r="2" spans="1:10" x14ac:dyDescent="0.25">
      <c r="A2" s="169" t="s">
        <v>141</v>
      </c>
      <c r="B2" s="794" t="s">
        <v>142</v>
      </c>
      <c r="C2" s="794"/>
      <c r="D2" s="794"/>
      <c r="E2" s="794"/>
      <c r="F2" s="528" t="s">
        <v>143</v>
      </c>
      <c r="G2" s="695"/>
      <c r="H2" s="695"/>
      <c r="I2" s="529" t="s">
        <v>5</v>
      </c>
      <c r="J2" s="315">
        <f>SUM(B10,B50,B92,B134)</f>
        <v>0</v>
      </c>
    </row>
    <row r="3" spans="1:10" x14ac:dyDescent="0.25">
      <c r="A3" s="169" t="s">
        <v>144</v>
      </c>
      <c r="B3" s="794" t="s">
        <v>105</v>
      </c>
      <c r="C3" s="794"/>
      <c r="D3" s="794"/>
      <c r="E3" s="794"/>
      <c r="F3" s="528" t="s">
        <v>145</v>
      </c>
      <c r="G3" s="695"/>
      <c r="H3" s="695"/>
      <c r="I3" s="529" t="s">
        <v>521</v>
      </c>
      <c r="J3" s="315">
        <f>SUM(C10,C50,C92,C134)</f>
        <v>0</v>
      </c>
    </row>
    <row r="4" spans="1:10" x14ac:dyDescent="0.25">
      <c r="A4" s="169" t="s">
        <v>146</v>
      </c>
      <c r="B4" s="794" t="s">
        <v>147</v>
      </c>
      <c r="C4" s="794"/>
      <c r="D4" s="794"/>
      <c r="E4" s="794"/>
      <c r="G4" s="957" t="s">
        <v>148</v>
      </c>
      <c r="H4" s="957"/>
    </row>
    <row r="5" spans="1:10" x14ac:dyDescent="0.25">
      <c r="A5" s="169" t="s">
        <v>149</v>
      </c>
      <c r="B5" s="794" t="s">
        <v>150</v>
      </c>
      <c r="C5" s="794"/>
      <c r="D5" s="794"/>
      <c r="E5" s="794"/>
      <c r="G5" s="695"/>
      <c r="H5" s="695"/>
    </row>
    <row r="6" spans="1:10" x14ac:dyDescent="0.25">
      <c r="A6" s="695"/>
      <c r="B6" s="695"/>
      <c r="C6" s="695"/>
      <c r="D6" s="695"/>
      <c r="E6" s="695"/>
      <c r="F6" s="695"/>
      <c r="G6" s="695"/>
      <c r="H6" s="695"/>
    </row>
    <row r="7" spans="1:10" ht="18" customHeight="1" x14ac:dyDescent="0.25">
      <c r="A7" s="561" t="s">
        <v>600</v>
      </c>
      <c r="B7" s="562" t="str">
        <f>IF('Total WQv Calculation'!$B$3="","",'Total WQv Calculation'!$B$3)</f>
        <v/>
      </c>
      <c r="C7" s="501"/>
      <c r="D7" s="501"/>
      <c r="E7" s="501"/>
      <c r="F7" s="501"/>
      <c r="G7" s="501"/>
      <c r="H7" s="501"/>
    </row>
    <row r="8" spans="1:10" ht="30.2" customHeight="1" x14ac:dyDescent="0.25">
      <c r="A8" s="840" t="s">
        <v>79</v>
      </c>
      <c r="B8" s="840"/>
      <c r="C8" s="840"/>
      <c r="D8" s="840"/>
      <c r="E8" s="840"/>
      <c r="F8" s="840"/>
      <c r="G8" s="840"/>
      <c r="H8" s="840"/>
    </row>
    <row r="9" spans="1:10" ht="46.7" customHeight="1" x14ac:dyDescent="0.25">
      <c r="A9" s="504" t="s">
        <v>493</v>
      </c>
      <c r="B9" s="505" t="s">
        <v>610</v>
      </c>
      <c r="C9" s="578" t="s">
        <v>611</v>
      </c>
      <c r="D9" s="505" t="s">
        <v>612</v>
      </c>
      <c r="E9" s="505" t="s">
        <v>7</v>
      </c>
      <c r="F9" s="505" t="s">
        <v>613</v>
      </c>
      <c r="G9" s="505" t="s">
        <v>614</v>
      </c>
      <c r="H9" s="506" t="s">
        <v>29</v>
      </c>
    </row>
    <row r="10" spans="1:10" ht="30.2" customHeight="1" x14ac:dyDescent="0.25">
      <c r="A10" s="509"/>
      <c r="B10" s="61" t="str">
        <f>IF($A10="","",(LOOKUP($A10,'Catchment Summary Table'!$A$4:$A$33,'Catchment Summary Table'!$B$4:$B$33)))</f>
        <v/>
      </c>
      <c r="C10" s="61" t="str">
        <f>IF($A10="","",(LOOKUP($A10,'Catchment Summary Table'!$A$4:$A$33,'Catchment Summary Table'!$C$4:$C$33)))</f>
        <v/>
      </c>
      <c r="D10" s="61" t="str">
        <f>IF($A10="","",(LOOKUP($A10,'Catchment Summary Table'!$A$4:$A$33,'Catchment Summary Table'!$D$4:$D$33)))</f>
        <v/>
      </c>
      <c r="E10" s="61" t="str">
        <f>IF($A10="","",(LOOKUP($A10,'Catchment Summary Table'!$A$4:$A$33,'Catchment Summary Table'!$E$4:$E$33)))</f>
        <v/>
      </c>
      <c r="F10" s="61" t="str">
        <f>IF($A10="","",(LOOKUP($A10,'Catchment Summary Table'!$A$4:$A$33,'Catchment Summary Table'!$F$4:$F$33)))</f>
        <v/>
      </c>
      <c r="G10" s="286" t="str">
        <f>IF(B10="","",'Total WQv Calculation'!$B$4)</f>
        <v/>
      </c>
      <c r="H10" s="510" t="str">
        <f>IF($A10="","",(LOOKUP($A10,'Catchment Summary Table'!$A$4:$A$33,'Catchment Summary Table'!$G$4:$G$33)))</f>
        <v/>
      </c>
    </row>
    <row r="11" spans="1:10" ht="15" customHeight="1" x14ac:dyDescent="0.25">
      <c r="A11" s="840" t="s">
        <v>505</v>
      </c>
      <c r="B11" s="1000"/>
      <c r="C11" s="1000"/>
      <c r="D11" s="1000"/>
      <c r="E11" s="1000"/>
      <c r="F11" s="1000"/>
      <c r="G11" s="1000"/>
      <c r="H11" s="1000"/>
    </row>
    <row r="12" spans="1:10" ht="15" customHeight="1" x14ac:dyDescent="0.25">
      <c r="A12" s="836" t="s">
        <v>504</v>
      </c>
      <c r="B12" s="1002"/>
      <c r="C12" s="285"/>
      <c r="D12" s="536" t="s">
        <v>317</v>
      </c>
      <c r="E12" s="554"/>
      <c r="F12" s="554"/>
      <c r="G12" s="554"/>
      <c r="H12" s="555"/>
    </row>
    <row r="13" spans="1:10" ht="15" customHeight="1" x14ac:dyDescent="0.25">
      <c r="A13" s="840" t="s">
        <v>455</v>
      </c>
      <c r="B13" s="840"/>
      <c r="C13" s="840"/>
      <c r="D13" s="840"/>
      <c r="E13" s="840"/>
      <c r="F13" s="840"/>
      <c r="G13" s="840"/>
      <c r="H13" s="840"/>
    </row>
    <row r="14" spans="1:10" ht="15" customHeight="1" x14ac:dyDescent="0.25">
      <c r="A14" s="752" t="s">
        <v>105</v>
      </c>
      <c r="B14" s="752"/>
      <c r="C14" s="510" t="s">
        <v>144</v>
      </c>
      <c r="D14" s="545" t="str">
        <f>+F10</f>
        <v/>
      </c>
      <c r="E14" s="516" t="s">
        <v>207</v>
      </c>
      <c r="F14" s="752"/>
      <c r="G14" s="752"/>
      <c r="H14" s="752"/>
    </row>
    <row r="15" spans="1:10" ht="15" customHeight="1" x14ac:dyDescent="0.25">
      <c r="A15" s="752" t="s">
        <v>223</v>
      </c>
      <c r="B15" s="752"/>
      <c r="C15" s="536" t="s">
        <v>146</v>
      </c>
      <c r="D15" s="104"/>
      <c r="E15" s="516"/>
      <c r="F15" s="752"/>
      <c r="G15" s="752"/>
      <c r="H15" s="752"/>
    </row>
    <row r="16" spans="1:10" ht="15" customHeight="1" x14ac:dyDescent="0.25">
      <c r="A16" s="752" t="s">
        <v>108</v>
      </c>
      <c r="B16" s="752"/>
      <c r="C16" s="510" t="s">
        <v>149</v>
      </c>
      <c r="D16" s="104"/>
      <c r="E16" s="516" t="s">
        <v>12</v>
      </c>
      <c r="F16" s="752"/>
      <c r="G16" s="752"/>
      <c r="H16" s="752"/>
    </row>
    <row r="17" spans="1:8" ht="15" customHeight="1" x14ac:dyDescent="0.25">
      <c r="A17" s="752" t="s">
        <v>442</v>
      </c>
      <c r="B17" s="752"/>
      <c r="C17" s="510" t="s">
        <v>141</v>
      </c>
      <c r="D17" s="545" t="e">
        <f>IF(D14=0,0,D14/(D15*D16))</f>
        <v>#VALUE!</v>
      </c>
      <c r="E17" s="516" t="s">
        <v>232</v>
      </c>
      <c r="F17" s="752"/>
      <c r="G17" s="752"/>
      <c r="H17" s="752"/>
    </row>
    <row r="18" spans="1:8" ht="30.2" customHeight="1" x14ac:dyDescent="0.25">
      <c r="A18" s="752" t="s">
        <v>417</v>
      </c>
      <c r="B18" s="752"/>
      <c r="C18" s="507"/>
      <c r="D18" s="283"/>
      <c r="E18" s="516" t="s">
        <v>232</v>
      </c>
      <c r="F18" s="1003" t="s">
        <v>477</v>
      </c>
      <c r="G18" s="1004"/>
      <c r="H18" s="1005"/>
    </row>
    <row r="19" spans="1:8" ht="15" customHeight="1" x14ac:dyDescent="0.25">
      <c r="A19" s="753" t="s">
        <v>454</v>
      </c>
      <c r="B19" s="753"/>
      <c r="C19" s="631"/>
      <c r="D19" s="514">
        <f>+D18*D16*D15</f>
        <v>0</v>
      </c>
      <c r="E19" s="304" t="s">
        <v>207</v>
      </c>
      <c r="F19" s="1006" t="str">
        <f>IF(D19&lt;F10,"Practice too small"," ")</f>
        <v>Practice too small</v>
      </c>
      <c r="G19" s="1007"/>
      <c r="H19" s="1008"/>
    </row>
    <row r="20" spans="1:8" s="206" customFormat="1" ht="15" customHeight="1" x14ac:dyDescent="0.25">
      <c r="A20" s="1001" t="s">
        <v>61</v>
      </c>
      <c r="B20" s="1001"/>
      <c r="C20" s="1001"/>
      <c r="D20" s="1001"/>
      <c r="E20" s="1001"/>
      <c r="F20" s="1001"/>
      <c r="G20" s="1001"/>
      <c r="H20" s="1001"/>
    </row>
    <row r="21" spans="1:8" ht="15" customHeight="1" x14ac:dyDescent="0.25">
      <c r="A21" s="207" t="s">
        <v>23</v>
      </c>
      <c r="B21" s="247" t="str">
        <f>IF(D19&gt;=F10,F10,"Error")</f>
        <v>Error</v>
      </c>
      <c r="C21" s="538" t="s">
        <v>249</v>
      </c>
      <c r="D21" s="770"/>
      <c r="E21" s="770"/>
      <c r="F21" s="770"/>
      <c r="G21" s="770"/>
      <c r="H21" s="770"/>
    </row>
    <row r="22" spans="1:8" ht="15" customHeight="1" x14ac:dyDescent="0.25">
      <c r="A22" s="501"/>
      <c r="B22" s="317"/>
      <c r="C22" s="501"/>
      <c r="D22" s="501"/>
      <c r="E22" s="501"/>
      <c r="F22" s="501"/>
      <c r="G22" s="501"/>
      <c r="H22" s="501"/>
    </row>
    <row r="23" spans="1:8" ht="16.5" customHeight="1" x14ac:dyDescent="0.25">
      <c r="A23" s="501"/>
      <c r="B23" s="317"/>
      <c r="C23" s="501"/>
      <c r="D23" s="501"/>
      <c r="E23" s="501"/>
      <c r="F23" s="501"/>
      <c r="G23" s="501"/>
      <c r="H23" s="501"/>
    </row>
    <row r="24" spans="1:8" ht="16.5" customHeight="1" x14ac:dyDescent="0.25">
      <c r="A24" s="501"/>
      <c r="B24" s="317"/>
      <c r="C24" s="501"/>
      <c r="D24" s="501"/>
      <c r="E24" s="501"/>
      <c r="F24" s="501"/>
      <c r="G24" s="501"/>
      <c r="H24" s="501"/>
    </row>
    <row r="25" spans="1:8" ht="16.5" customHeight="1" x14ac:dyDescent="0.25">
      <c r="A25" s="501"/>
      <c r="B25" s="317"/>
      <c r="C25" s="501"/>
      <c r="D25" s="501"/>
      <c r="E25" s="501"/>
      <c r="F25" s="501"/>
      <c r="G25" s="501"/>
      <c r="H25" s="501"/>
    </row>
    <row r="26" spans="1:8" ht="16.5" customHeight="1" x14ac:dyDescent="0.25">
      <c r="A26" s="501"/>
      <c r="B26" s="317"/>
      <c r="C26" s="501"/>
      <c r="D26" s="501"/>
      <c r="E26" s="501"/>
      <c r="F26" s="501"/>
      <c r="G26" s="501"/>
      <c r="H26" s="501"/>
    </row>
    <row r="27" spans="1:8" ht="16.5" customHeight="1" x14ac:dyDescent="0.25">
      <c r="A27" s="501"/>
      <c r="B27" s="317"/>
      <c r="C27" s="501"/>
      <c r="D27" s="501"/>
      <c r="E27" s="501"/>
      <c r="F27" s="501"/>
      <c r="G27" s="501"/>
      <c r="H27" s="501"/>
    </row>
    <row r="28" spans="1:8" ht="16.5" customHeight="1" x14ac:dyDescent="0.25">
      <c r="A28" s="501"/>
      <c r="B28" s="317"/>
      <c r="C28" s="501"/>
      <c r="D28" s="501"/>
      <c r="E28" s="501"/>
      <c r="F28" s="501"/>
      <c r="G28" s="501"/>
      <c r="H28" s="501"/>
    </row>
    <row r="29" spans="1:8" ht="16.5" customHeight="1" x14ac:dyDescent="0.25">
      <c r="A29" s="501"/>
      <c r="B29" s="317"/>
      <c r="C29" s="501"/>
      <c r="D29" s="501"/>
      <c r="E29" s="501"/>
      <c r="F29" s="501"/>
      <c r="G29" s="501"/>
      <c r="H29" s="501"/>
    </row>
    <row r="30" spans="1:8" ht="16.5" customHeight="1" x14ac:dyDescent="0.25">
      <c r="A30" s="501"/>
      <c r="B30" s="317"/>
      <c r="C30" s="501"/>
      <c r="D30" s="501"/>
      <c r="E30" s="501"/>
      <c r="F30" s="501"/>
      <c r="G30" s="501"/>
      <c r="H30" s="501"/>
    </row>
    <row r="31" spans="1:8" ht="16.5" customHeight="1" x14ac:dyDescent="0.25">
      <c r="A31" s="501"/>
      <c r="B31" s="317"/>
      <c r="C31" s="501"/>
      <c r="D31" s="501"/>
      <c r="E31" s="501"/>
      <c r="F31" s="501"/>
      <c r="G31" s="501"/>
      <c r="H31" s="501"/>
    </row>
    <row r="32" spans="1:8" ht="16.5" customHeight="1" x14ac:dyDescent="0.25">
      <c r="A32" s="501"/>
      <c r="B32" s="317"/>
      <c r="C32" s="501"/>
      <c r="D32" s="501"/>
      <c r="E32" s="501"/>
      <c r="F32" s="501"/>
      <c r="G32" s="501"/>
      <c r="H32" s="501"/>
    </row>
    <row r="33" spans="1:8" ht="16.5" customHeight="1" x14ac:dyDescent="0.25">
      <c r="A33" s="501"/>
      <c r="B33" s="317"/>
      <c r="C33" s="501"/>
      <c r="D33" s="501"/>
      <c r="E33" s="501"/>
      <c r="F33" s="501"/>
      <c r="G33" s="501"/>
      <c r="H33" s="501"/>
    </row>
    <row r="34" spans="1:8" ht="16.5" customHeight="1" x14ac:dyDescent="0.25">
      <c r="A34" s="501"/>
      <c r="B34" s="317"/>
      <c r="C34" s="501"/>
      <c r="D34" s="501"/>
      <c r="E34" s="501"/>
      <c r="F34" s="501"/>
      <c r="G34" s="501"/>
      <c r="H34" s="501"/>
    </row>
    <row r="35" spans="1:8" ht="16.5" customHeight="1" x14ac:dyDescent="0.25">
      <c r="A35" s="501"/>
      <c r="B35" s="317"/>
      <c r="C35" s="501"/>
      <c r="D35" s="501"/>
      <c r="E35" s="501"/>
      <c r="F35" s="501"/>
      <c r="G35" s="501"/>
      <c r="H35" s="501"/>
    </row>
    <row r="36" spans="1:8" ht="16.5" customHeight="1" x14ac:dyDescent="0.25">
      <c r="A36" s="501"/>
      <c r="B36" s="317"/>
      <c r="C36" s="501"/>
      <c r="D36" s="501"/>
      <c r="E36" s="501"/>
      <c r="F36" s="501"/>
      <c r="G36" s="501"/>
      <c r="H36" s="501"/>
    </row>
    <row r="37" spans="1:8" x14ac:dyDescent="0.25">
      <c r="A37" s="501"/>
      <c r="B37" s="317"/>
      <c r="C37" s="501"/>
      <c r="D37" s="501"/>
      <c r="E37" s="501"/>
      <c r="F37" s="501"/>
      <c r="G37" s="501"/>
      <c r="H37" s="501"/>
    </row>
    <row r="38" spans="1:8" x14ac:dyDescent="0.25">
      <c r="A38" s="501"/>
      <c r="B38" s="501"/>
      <c r="C38" s="501"/>
      <c r="D38" s="501"/>
      <c r="E38" s="501"/>
      <c r="F38" s="501"/>
      <c r="G38" s="501"/>
      <c r="H38" s="501"/>
    </row>
    <row r="39" spans="1:8" x14ac:dyDescent="0.25">
      <c r="A39" s="501"/>
      <c r="B39" s="501"/>
      <c r="C39" s="501"/>
      <c r="D39" s="501"/>
      <c r="E39" s="501"/>
      <c r="F39" s="501"/>
      <c r="G39" s="501"/>
      <c r="H39" s="501"/>
    </row>
    <row r="40" spans="1:8" x14ac:dyDescent="0.25">
      <c r="A40" s="501"/>
      <c r="B40" s="501"/>
      <c r="C40" s="501"/>
      <c r="D40" s="501"/>
      <c r="E40" s="501"/>
      <c r="F40" s="501"/>
      <c r="G40" s="501"/>
      <c r="H40" s="501"/>
    </row>
    <row r="41" spans="1:8" ht="15" customHeight="1" x14ac:dyDescent="0.25">
      <c r="A41" s="695" t="s">
        <v>151</v>
      </c>
      <c r="B41" s="695"/>
      <c r="C41" s="695"/>
      <c r="D41" s="695"/>
      <c r="E41" s="695"/>
      <c r="F41" s="695"/>
      <c r="G41" s="695"/>
      <c r="H41" s="695"/>
    </row>
    <row r="42" spans="1:8" ht="15" customHeight="1" x14ac:dyDescent="0.25">
      <c r="A42" s="169" t="s">
        <v>141</v>
      </c>
      <c r="B42" s="794" t="s">
        <v>142</v>
      </c>
      <c r="C42" s="794"/>
      <c r="D42" s="794"/>
      <c r="E42" s="794"/>
      <c r="F42" s="528" t="s">
        <v>143</v>
      </c>
      <c r="G42" s="695"/>
      <c r="H42" s="695"/>
    </row>
    <row r="43" spans="1:8" ht="15" customHeight="1" x14ac:dyDescent="0.25">
      <c r="A43" s="169" t="s">
        <v>144</v>
      </c>
      <c r="B43" s="794" t="s">
        <v>105</v>
      </c>
      <c r="C43" s="794"/>
      <c r="D43" s="794"/>
      <c r="E43" s="794"/>
      <c r="F43" s="528" t="s">
        <v>145</v>
      </c>
      <c r="G43" s="695"/>
      <c r="H43" s="695"/>
    </row>
    <row r="44" spans="1:8" ht="15" customHeight="1" x14ac:dyDescent="0.25">
      <c r="A44" s="169" t="s">
        <v>146</v>
      </c>
      <c r="B44" s="794" t="s">
        <v>147</v>
      </c>
      <c r="C44" s="794"/>
      <c r="D44" s="794"/>
      <c r="E44" s="794"/>
      <c r="G44" s="957" t="s">
        <v>148</v>
      </c>
      <c r="H44" s="957"/>
    </row>
    <row r="45" spans="1:8" x14ac:dyDescent="0.25">
      <c r="A45" s="169" t="s">
        <v>149</v>
      </c>
      <c r="B45" s="794" t="s">
        <v>150</v>
      </c>
      <c r="C45" s="794"/>
      <c r="D45" s="794"/>
      <c r="E45" s="794"/>
      <c r="G45" s="695"/>
      <c r="H45" s="695"/>
    </row>
    <row r="46" spans="1:8" ht="15" customHeight="1" x14ac:dyDescent="0.25">
      <c r="A46" s="695"/>
      <c r="B46" s="695"/>
      <c r="C46" s="695"/>
      <c r="D46" s="695"/>
      <c r="E46" s="695"/>
      <c r="F46" s="695"/>
      <c r="G46" s="695"/>
      <c r="H46" s="695"/>
    </row>
    <row r="47" spans="1:8" ht="18" customHeight="1" x14ac:dyDescent="0.25">
      <c r="A47" s="561" t="s">
        <v>600</v>
      </c>
      <c r="B47" s="562" t="str">
        <f>IF('Total WQv Calculation'!$B$3="","",'Total WQv Calculation'!$B$3)</f>
        <v/>
      </c>
      <c r="C47" s="501"/>
      <c r="D47" s="501"/>
      <c r="E47" s="501"/>
      <c r="F47" s="501"/>
      <c r="G47" s="501"/>
      <c r="H47" s="501"/>
    </row>
    <row r="48" spans="1:8" x14ac:dyDescent="0.25">
      <c r="A48" s="840" t="s">
        <v>79</v>
      </c>
      <c r="B48" s="840"/>
      <c r="C48" s="840"/>
      <c r="D48" s="840"/>
      <c r="E48" s="840"/>
      <c r="F48" s="840"/>
      <c r="G48" s="840"/>
      <c r="H48" s="840"/>
    </row>
    <row r="49" spans="1:8" ht="46.7" customHeight="1" x14ac:dyDescent="0.25">
      <c r="A49" s="504" t="s">
        <v>493</v>
      </c>
      <c r="B49" s="505" t="s">
        <v>610</v>
      </c>
      <c r="C49" s="578" t="s">
        <v>611</v>
      </c>
      <c r="D49" s="505" t="s">
        <v>612</v>
      </c>
      <c r="E49" s="505" t="s">
        <v>7</v>
      </c>
      <c r="F49" s="505" t="s">
        <v>613</v>
      </c>
      <c r="G49" s="505" t="s">
        <v>614</v>
      </c>
      <c r="H49" s="506" t="s">
        <v>29</v>
      </c>
    </row>
    <row r="50" spans="1:8" ht="30.2" customHeight="1" x14ac:dyDescent="0.25">
      <c r="A50" s="273"/>
      <c r="B50" s="556" t="str">
        <f>IF($A50="","",(LOOKUP($A50,'Catchment Summary Table'!$A$4:$A$33,'Catchment Summary Table'!$B$4:$B$33)))</f>
        <v/>
      </c>
      <c r="C50" s="556" t="str">
        <f>IF($A50="","",(LOOKUP($A50,'Catchment Summary Table'!$A$4:$A$33,'Catchment Summary Table'!$C$4:$C$33)))</f>
        <v/>
      </c>
      <c r="D50" s="556" t="str">
        <f>IF($A50="","",(LOOKUP($A50,'Catchment Summary Table'!$A$4:$A$33,'Catchment Summary Table'!$D$4:$D$33)))</f>
        <v/>
      </c>
      <c r="E50" s="556" t="str">
        <f>IF($A50="","",(LOOKUP($A50,'Catchment Summary Table'!$A$4:$A$33,'Catchment Summary Table'!$E$4:$E$33)))</f>
        <v/>
      </c>
      <c r="F50" s="556" t="str">
        <f>IF($A50="","",(LOOKUP($A50,'Catchment Summary Table'!$A$4:$A$33,'Catchment Summary Table'!$F$4:$F$33)))</f>
        <v/>
      </c>
      <c r="G50" s="557" t="str">
        <f>IF(B50="","",'Total WQv Calculation'!$B$4)</f>
        <v/>
      </c>
      <c r="H50" s="182" t="str">
        <f>IF($A50="","",(LOOKUP($A50,'Catchment Summary Table'!$A$4:$A$33,'Catchment Summary Table'!$G$4:$G$33)))</f>
        <v/>
      </c>
    </row>
    <row r="51" spans="1:8" s="206" customFormat="1" ht="15" customHeight="1" x14ac:dyDescent="0.25">
      <c r="A51" s="840" t="s">
        <v>505</v>
      </c>
      <c r="B51" s="1000"/>
      <c r="C51" s="1000"/>
      <c r="D51" s="1000"/>
      <c r="E51" s="1000"/>
      <c r="F51" s="1000"/>
      <c r="G51" s="1000"/>
      <c r="H51" s="1000"/>
    </row>
    <row r="52" spans="1:8" ht="15" customHeight="1" x14ac:dyDescent="0.25">
      <c r="A52" s="832" t="s">
        <v>504</v>
      </c>
      <c r="B52" s="833"/>
      <c r="C52" s="301"/>
      <c r="D52" s="558" t="s">
        <v>317</v>
      </c>
      <c r="E52" s="559"/>
      <c r="F52" s="559"/>
      <c r="G52" s="559"/>
      <c r="H52" s="560"/>
    </row>
    <row r="53" spans="1:8" ht="15" customHeight="1" x14ac:dyDescent="0.25">
      <c r="A53" s="840" t="s">
        <v>455</v>
      </c>
      <c r="B53" s="840"/>
      <c r="C53" s="840"/>
      <c r="D53" s="840"/>
      <c r="E53" s="840"/>
      <c r="F53" s="840"/>
      <c r="G53" s="840"/>
      <c r="H53" s="840"/>
    </row>
    <row r="54" spans="1:8" ht="15" customHeight="1" x14ac:dyDescent="0.25">
      <c r="A54" s="1010" t="s">
        <v>105</v>
      </c>
      <c r="B54" s="1010"/>
      <c r="C54" s="546" t="s">
        <v>144</v>
      </c>
      <c r="D54" s="263" t="str">
        <f>+F50</f>
        <v/>
      </c>
      <c r="E54" s="516" t="s">
        <v>207</v>
      </c>
      <c r="F54" s="1010"/>
      <c r="G54" s="1010"/>
      <c r="H54" s="1010"/>
    </row>
    <row r="55" spans="1:8" ht="15" customHeight="1" x14ac:dyDescent="0.25">
      <c r="A55" s="752" t="s">
        <v>223</v>
      </c>
      <c r="B55" s="752"/>
      <c r="C55" s="536" t="s">
        <v>146</v>
      </c>
      <c r="D55" s="104"/>
      <c r="E55" s="516"/>
      <c r="F55" s="752"/>
      <c r="G55" s="752"/>
      <c r="H55" s="752"/>
    </row>
    <row r="56" spans="1:8" ht="15" customHeight="1" x14ac:dyDescent="0.25">
      <c r="A56" s="752" t="s">
        <v>108</v>
      </c>
      <c r="B56" s="752"/>
      <c r="C56" s="510" t="s">
        <v>149</v>
      </c>
      <c r="D56" s="104"/>
      <c r="E56" s="516" t="s">
        <v>12</v>
      </c>
      <c r="F56" s="752"/>
      <c r="G56" s="752"/>
      <c r="H56" s="752"/>
    </row>
    <row r="57" spans="1:8" ht="15" customHeight="1" x14ac:dyDescent="0.25">
      <c r="A57" s="752" t="s">
        <v>442</v>
      </c>
      <c r="B57" s="752"/>
      <c r="C57" s="510" t="s">
        <v>141</v>
      </c>
      <c r="D57" s="284" t="e">
        <f>IF(D54=0,0,D54/(D55*D56))</f>
        <v>#VALUE!</v>
      </c>
      <c r="E57" s="516" t="s">
        <v>232</v>
      </c>
      <c r="F57" s="752"/>
      <c r="G57" s="752"/>
      <c r="H57" s="752"/>
    </row>
    <row r="58" spans="1:8" ht="30.2" customHeight="1" x14ac:dyDescent="0.25">
      <c r="A58" s="752" t="s">
        <v>417</v>
      </c>
      <c r="B58" s="752"/>
      <c r="C58" s="507"/>
      <c r="D58" s="285"/>
      <c r="E58" s="516" t="s">
        <v>232</v>
      </c>
      <c r="F58" s="1009" t="s">
        <v>477</v>
      </c>
      <c r="G58" s="1009"/>
      <c r="H58" s="1009"/>
    </row>
    <row r="59" spans="1:8" ht="15" customHeight="1" x14ac:dyDescent="0.25">
      <c r="A59" s="752" t="s">
        <v>454</v>
      </c>
      <c r="B59" s="752"/>
      <c r="C59" s="507"/>
      <c r="D59" s="514">
        <f>+D58*D56*D55</f>
        <v>0</v>
      </c>
      <c r="E59" s="516" t="s">
        <v>207</v>
      </c>
      <c r="F59" s="724" t="str">
        <f>IF(D59&lt;F50,"Practice too small"," ")</f>
        <v>Practice too small</v>
      </c>
      <c r="G59" s="725"/>
      <c r="H59" s="726"/>
    </row>
    <row r="60" spans="1:8" ht="15" customHeight="1" x14ac:dyDescent="0.25">
      <c r="A60" s="840" t="s">
        <v>61</v>
      </c>
      <c r="B60" s="840"/>
      <c r="C60" s="840"/>
      <c r="D60" s="840"/>
      <c r="E60" s="840"/>
      <c r="F60" s="840"/>
      <c r="G60" s="840"/>
      <c r="H60" s="840"/>
    </row>
    <row r="61" spans="1:8" ht="15" customHeight="1" x14ac:dyDescent="0.25">
      <c r="A61" s="207" t="s">
        <v>23</v>
      </c>
      <c r="B61" s="247" t="str">
        <f>IF(D59&gt;=F50,F50,"Error")</f>
        <v>Error</v>
      </c>
      <c r="C61" s="538" t="s">
        <v>249</v>
      </c>
      <c r="D61" s="927"/>
      <c r="E61" s="883"/>
      <c r="F61" s="883"/>
      <c r="G61" s="883"/>
      <c r="H61" s="884"/>
    </row>
    <row r="83" spans="1:8" x14ac:dyDescent="0.25">
      <c r="A83" s="695" t="s">
        <v>151</v>
      </c>
      <c r="B83" s="695"/>
      <c r="C83" s="695"/>
      <c r="D83" s="695"/>
      <c r="E83" s="695"/>
      <c r="F83" s="695"/>
      <c r="G83" s="695"/>
      <c r="H83" s="695"/>
    </row>
    <row r="84" spans="1:8" x14ac:dyDescent="0.25">
      <c r="A84" s="169" t="s">
        <v>141</v>
      </c>
      <c r="B84" s="794" t="s">
        <v>142</v>
      </c>
      <c r="C84" s="794"/>
      <c r="D84" s="794"/>
      <c r="E84" s="794"/>
      <c r="F84" s="528" t="s">
        <v>143</v>
      </c>
      <c r="G84" s="695"/>
      <c r="H84" s="695"/>
    </row>
    <row r="85" spans="1:8" x14ac:dyDescent="0.25">
      <c r="A85" s="169" t="s">
        <v>144</v>
      </c>
      <c r="B85" s="794" t="s">
        <v>105</v>
      </c>
      <c r="C85" s="794"/>
      <c r="D85" s="794"/>
      <c r="E85" s="794"/>
      <c r="F85" s="528" t="s">
        <v>145</v>
      </c>
      <c r="G85" s="695"/>
      <c r="H85" s="695"/>
    </row>
    <row r="86" spans="1:8" x14ac:dyDescent="0.25">
      <c r="A86" s="169" t="s">
        <v>146</v>
      </c>
      <c r="B86" s="794" t="s">
        <v>147</v>
      </c>
      <c r="C86" s="794"/>
      <c r="D86" s="794"/>
      <c r="E86" s="794"/>
      <c r="G86" s="957" t="s">
        <v>148</v>
      </c>
      <c r="H86" s="957"/>
    </row>
    <row r="87" spans="1:8" x14ac:dyDescent="0.25">
      <c r="A87" s="169" t="s">
        <v>149</v>
      </c>
      <c r="B87" s="794" t="s">
        <v>150</v>
      </c>
      <c r="C87" s="794"/>
      <c r="D87" s="794"/>
      <c r="E87" s="794"/>
      <c r="G87" s="695"/>
      <c r="H87" s="695"/>
    </row>
    <row r="88" spans="1:8" ht="15" customHeight="1" x14ac:dyDescent="0.25">
      <c r="A88" s="695"/>
      <c r="B88" s="695"/>
      <c r="C88" s="695"/>
      <c r="D88" s="695"/>
      <c r="E88" s="695"/>
      <c r="F88" s="695"/>
      <c r="G88" s="695"/>
      <c r="H88" s="695"/>
    </row>
    <row r="89" spans="1:8" x14ac:dyDescent="0.25">
      <c r="A89" s="561" t="s">
        <v>600</v>
      </c>
      <c r="B89" s="562" t="str">
        <f>IF('Total WQv Calculation'!$B$3="","",'Total WQv Calculation'!$B$3)</f>
        <v/>
      </c>
      <c r="C89" s="501"/>
      <c r="D89" s="501"/>
      <c r="E89" s="501"/>
      <c r="F89" s="501"/>
      <c r="G89" s="501"/>
      <c r="H89" s="501"/>
    </row>
    <row r="90" spans="1:8" ht="15" customHeight="1" x14ac:dyDescent="0.25">
      <c r="A90" s="840" t="s">
        <v>79</v>
      </c>
      <c r="B90" s="840"/>
      <c r="C90" s="840"/>
      <c r="D90" s="840"/>
      <c r="E90" s="840"/>
      <c r="F90" s="840"/>
      <c r="G90" s="840"/>
      <c r="H90" s="840"/>
    </row>
    <row r="91" spans="1:8" ht="46.7" customHeight="1" x14ac:dyDescent="0.25">
      <c r="A91" s="504" t="s">
        <v>493</v>
      </c>
      <c r="B91" s="505" t="s">
        <v>610</v>
      </c>
      <c r="C91" s="578" t="s">
        <v>611</v>
      </c>
      <c r="D91" s="505" t="s">
        <v>612</v>
      </c>
      <c r="E91" s="505" t="s">
        <v>7</v>
      </c>
      <c r="F91" s="505" t="s">
        <v>613</v>
      </c>
      <c r="G91" s="505" t="s">
        <v>614</v>
      </c>
      <c r="H91" s="506" t="s">
        <v>29</v>
      </c>
    </row>
    <row r="92" spans="1:8" ht="30.2" customHeight="1" x14ac:dyDescent="0.25">
      <c r="A92" s="509"/>
      <c r="B92" s="61" t="str">
        <f>IF($A92="","",(LOOKUP($A92,'Catchment Summary Table'!$A$4:$A$33,'Catchment Summary Table'!$B$4:$B$33)))</f>
        <v/>
      </c>
      <c r="C92" s="61" t="str">
        <f>IF($A92="","",(LOOKUP($A92,'Catchment Summary Table'!$A$4:$A$33,'Catchment Summary Table'!$C$4:$C$33)))</f>
        <v/>
      </c>
      <c r="D92" s="61" t="str">
        <f>IF($A92="","",(LOOKUP($A92,'Catchment Summary Table'!$A$4:$A$33,'Catchment Summary Table'!$D$4:$D$33)))</f>
        <v/>
      </c>
      <c r="E92" s="61" t="str">
        <f>IF($A92="","",(LOOKUP($A92,'Catchment Summary Table'!$A$4:$A$33,'Catchment Summary Table'!$E$4:$E$33)))</f>
        <v/>
      </c>
      <c r="F92" s="61" t="str">
        <f>IF($A92="","",(LOOKUP($A92,'Catchment Summary Table'!$A$4:$A$33,'Catchment Summary Table'!$F$4:$F$33)))</f>
        <v/>
      </c>
      <c r="G92" s="286" t="str">
        <f>IF(B92="","",'Total WQv Calculation'!$B$4)</f>
        <v/>
      </c>
      <c r="H92" s="510" t="str">
        <f>IF($A92="","",(LOOKUP($A92,'Catchment Summary Table'!$A$4:$A$33,'Catchment Summary Table'!$G$4:$G$33)))</f>
        <v/>
      </c>
    </row>
    <row r="93" spans="1:8" ht="15" customHeight="1" x14ac:dyDescent="0.25">
      <c r="A93" s="840" t="s">
        <v>505</v>
      </c>
      <c r="B93" s="1000"/>
      <c r="C93" s="1000"/>
      <c r="D93" s="1000"/>
      <c r="E93" s="1000"/>
      <c r="F93" s="1000"/>
      <c r="G93" s="1000"/>
      <c r="H93" s="1000"/>
    </row>
    <row r="94" spans="1:8" ht="15" customHeight="1" x14ac:dyDescent="0.25">
      <c r="A94" s="832" t="s">
        <v>504</v>
      </c>
      <c r="B94" s="833"/>
      <c r="C94" s="301"/>
      <c r="D94" s="558" t="s">
        <v>317</v>
      </c>
      <c r="E94" s="559"/>
      <c r="F94" s="559"/>
      <c r="G94" s="559"/>
      <c r="H94" s="560"/>
    </row>
    <row r="95" spans="1:8" ht="15" customHeight="1" x14ac:dyDescent="0.25">
      <c r="A95" s="840" t="s">
        <v>455</v>
      </c>
      <c r="B95" s="840"/>
      <c r="C95" s="840"/>
      <c r="D95" s="840"/>
      <c r="E95" s="840"/>
      <c r="F95" s="840"/>
      <c r="G95" s="840"/>
      <c r="H95" s="840"/>
    </row>
    <row r="96" spans="1:8" ht="15" customHeight="1" x14ac:dyDescent="0.25">
      <c r="A96" s="752" t="s">
        <v>105</v>
      </c>
      <c r="B96" s="752"/>
      <c r="C96" s="510" t="s">
        <v>144</v>
      </c>
      <c r="D96" s="545" t="str">
        <f>+F92</f>
        <v/>
      </c>
      <c r="E96" s="516" t="s">
        <v>207</v>
      </c>
      <c r="F96" s="752"/>
      <c r="G96" s="752"/>
      <c r="H96" s="752"/>
    </row>
    <row r="97" spans="1:8" ht="15" customHeight="1" x14ac:dyDescent="0.25">
      <c r="A97" s="752" t="s">
        <v>223</v>
      </c>
      <c r="B97" s="752"/>
      <c r="C97" s="536" t="s">
        <v>146</v>
      </c>
      <c r="D97" s="104"/>
      <c r="E97" s="516"/>
      <c r="F97" s="752"/>
      <c r="G97" s="752"/>
      <c r="H97" s="752"/>
    </row>
    <row r="98" spans="1:8" ht="15" customHeight="1" x14ac:dyDescent="0.25">
      <c r="A98" s="752" t="s">
        <v>108</v>
      </c>
      <c r="B98" s="752"/>
      <c r="C98" s="510" t="s">
        <v>149</v>
      </c>
      <c r="D98" s="104"/>
      <c r="E98" s="516" t="s">
        <v>12</v>
      </c>
      <c r="F98" s="752"/>
      <c r="G98" s="752"/>
      <c r="H98" s="752"/>
    </row>
    <row r="99" spans="1:8" ht="15" customHeight="1" x14ac:dyDescent="0.25">
      <c r="A99" s="752" t="s">
        <v>442</v>
      </c>
      <c r="B99" s="752"/>
      <c r="C99" s="510" t="s">
        <v>141</v>
      </c>
      <c r="D99" s="545" t="e">
        <f>IF(D96=0,0,D96/(D97*D98))</f>
        <v>#VALUE!</v>
      </c>
      <c r="E99" s="516" t="s">
        <v>232</v>
      </c>
      <c r="F99" s="752"/>
      <c r="G99" s="752"/>
      <c r="H99" s="752"/>
    </row>
    <row r="100" spans="1:8" ht="30.2" customHeight="1" x14ac:dyDescent="0.25">
      <c r="A100" s="752" t="s">
        <v>417</v>
      </c>
      <c r="B100" s="752"/>
      <c r="C100" s="507"/>
      <c r="D100" s="283"/>
      <c r="E100" s="516" t="s">
        <v>232</v>
      </c>
      <c r="F100" s="1003" t="s">
        <v>477</v>
      </c>
      <c r="G100" s="1004"/>
      <c r="H100" s="1005"/>
    </row>
    <row r="101" spans="1:8" ht="15" customHeight="1" x14ac:dyDescent="0.25">
      <c r="A101" s="753" t="s">
        <v>454</v>
      </c>
      <c r="B101" s="753"/>
      <c r="C101" s="631"/>
      <c r="D101" s="514">
        <f>+D100*D98*D97</f>
        <v>0</v>
      </c>
      <c r="E101" s="304" t="s">
        <v>207</v>
      </c>
      <c r="F101" s="1006" t="str">
        <f>IF(D101&lt;F92,"Practice too small"," ")</f>
        <v>Practice too small</v>
      </c>
      <c r="G101" s="1007"/>
      <c r="H101" s="1008"/>
    </row>
    <row r="102" spans="1:8" ht="15" customHeight="1" x14ac:dyDescent="0.25">
      <c r="A102" s="840" t="s">
        <v>61</v>
      </c>
      <c r="B102" s="840"/>
      <c r="C102" s="840"/>
      <c r="D102" s="840"/>
      <c r="E102" s="840"/>
      <c r="F102" s="840"/>
      <c r="G102" s="840"/>
      <c r="H102" s="840"/>
    </row>
    <row r="103" spans="1:8" ht="15" customHeight="1" x14ac:dyDescent="0.25">
      <c r="A103" s="247" t="s">
        <v>23</v>
      </c>
      <c r="B103" s="247" t="str">
        <f>IF(D101&gt;=F92,F92,"Error")</f>
        <v>Error</v>
      </c>
      <c r="C103" s="303" t="s">
        <v>249</v>
      </c>
      <c r="D103" s="1011"/>
      <c r="E103" s="1012"/>
      <c r="F103" s="1012"/>
      <c r="G103" s="1012"/>
      <c r="H103" s="1013"/>
    </row>
    <row r="104" spans="1:8" x14ac:dyDescent="0.25">
      <c r="A104" s="1014"/>
      <c r="B104" s="1014"/>
      <c r="C104" s="1014"/>
      <c r="D104" s="1014"/>
      <c r="E104" s="1014"/>
      <c r="F104" s="1014"/>
      <c r="G104" s="1014"/>
      <c r="H104" s="1014"/>
    </row>
    <row r="105" spans="1:8" x14ac:dyDescent="0.25">
      <c r="A105" s="47"/>
      <c r="B105" s="45"/>
      <c r="C105" s="522"/>
      <c r="D105" s="521"/>
      <c r="E105" s="521"/>
      <c r="F105" s="521"/>
      <c r="G105" s="521"/>
      <c r="H105" s="521"/>
    </row>
    <row r="106" spans="1:8" x14ac:dyDescent="0.25">
      <c r="A106" s="47"/>
      <c r="B106" s="45"/>
      <c r="C106" s="522"/>
      <c r="D106" s="521"/>
      <c r="E106" s="521"/>
      <c r="F106" s="521"/>
      <c r="G106" s="521"/>
      <c r="H106" s="521"/>
    </row>
    <row r="107" spans="1:8" x14ac:dyDescent="0.25">
      <c r="A107" s="47"/>
      <c r="B107" s="45"/>
      <c r="C107" s="522"/>
      <c r="D107" s="521"/>
      <c r="E107" s="521"/>
      <c r="F107" s="521"/>
      <c r="G107" s="521"/>
      <c r="H107" s="521"/>
    </row>
    <row r="108" spans="1:8" x14ac:dyDescent="0.25">
      <c r="A108" s="47"/>
      <c r="B108" s="45"/>
      <c r="C108" s="522"/>
      <c r="D108" s="521"/>
      <c r="E108" s="521"/>
      <c r="F108" s="521"/>
      <c r="G108" s="521"/>
      <c r="H108" s="521"/>
    </row>
    <row r="109" spans="1:8" x14ac:dyDescent="0.25">
      <c r="A109" s="47"/>
      <c r="B109" s="45"/>
      <c r="C109" s="522"/>
      <c r="D109" s="521"/>
      <c r="E109" s="521"/>
      <c r="F109" s="521"/>
      <c r="G109" s="521"/>
      <c r="H109" s="521"/>
    </row>
    <row r="110" spans="1:8" x14ac:dyDescent="0.25">
      <c r="A110" s="47"/>
      <c r="B110" s="45"/>
      <c r="C110" s="522"/>
      <c r="D110" s="521"/>
      <c r="E110" s="521"/>
      <c r="F110" s="521"/>
      <c r="G110" s="521"/>
      <c r="H110" s="521"/>
    </row>
    <row r="111" spans="1:8" x14ac:dyDescent="0.25">
      <c r="A111" s="47"/>
      <c r="B111" s="45"/>
      <c r="C111" s="522"/>
      <c r="D111" s="521"/>
      <c r="E111" s="521"/>
      <c r="F111" s="521"/>
      <c r="G111" s="521"/>
      <c r="H111" s="521"/>
    </row>
    <row r="115" spans="1:8" ht="15" customHeight="1" x14ac:dyDescent="0.25"/>
    <row r="116" spans="1:8" ht="15" customHeight="1" x14ac:dyDescent="0.25"/>
    <row r="117" spans="1:8" ht="15" customHeight="1" x14ac:dyDescent="0.25"/>
    <row r="118" spans="1:8" ht="15" customHeight="1" x14ac:dyDescent="0.25"/>
    <row r="119" spans="1:8" ht="15" customHeight="1" x14ac:dyDescent="0.25"/>
    <row r="120" spans="1:8" ht="15" customHeight="1" x14ac:dyDescent="0.25"/>
    <row r="121" spans="1:8" ht="15" customHeight="1" x14ac:dyDescent="0.25"/>
    <row r="122" spans="1:8" ht="15" customHeight="1" x14ac:dyDescent="0.25"/>
    <row r="123" spans="1:8" ht="15" customHeight="1" x14ac:dyDescent="0.25"/>
    <row r="124" spans="1:8" ht="15" customHeight="1" x14ac:dyDescent="0.25"/>
    <row r="125" spans="1:8" ht="15" customHeight="1" x14ac:dyDescent="0.25">
      <c r="A125" s="695" t="s">
        <v>151</v>
      </c>
      <c r="B125" s="695"/>
      <c r="C125" s="695"/>
      <c r="D125" s="695"/>
      <c r="E125" s="695"/>
      <c r="F125" s="695"/>
      <c r="G125" s="695"/>
      <c r="H125" s="695"/>
    </row>
    <row r="126" spans="1:8" ht="15" customHeight="1" x14ac:dyDescent="0.25">
      <c r="A126" s="169" t="s">
        <v>141</v>
      </c>
      <c r="B126" s="794" t="s">
        <v>142</v>
      </c>
      <c r="C126" s="794"/>
      <c r="D126" s="794"/>
      <c r="E126" s="794"/>
      <c r="F126" s="528" t="s">
        <v>143</v>
      </c>
      <c r="G126" s="695"/>
      <c r="H126" s="695"/>
    </row>
    <row r="127" spans="1:8" x14ac:dyDescent="0.25">
      <c r="A127" s="169" t="s">
        <v>144</v>
      </c>
      <c r="B127" s="794" t="s">
        <v>105</v>
      </c>
      <c r="C127" s="794"/>
      <c r="D127" s="794"/>
      <c r="E127" s="794"/>
      <c r="F127" s="528" t="s">
        <v>145</v>
      </c>
      <c r="G127" s="695"/>
      <c r="H127" s="695"/>
    </row>
    <row r="128" spans="1:8" ht="15" customHeight="1" x14ac:dyDescent="0.25">
      <c r="A128" s="169" t="s">
        <v>146</v>
      </c>
      <c r="B128" s="794" t="s">
        <v>147</v>
      </c>
      <c r="C128" s="794"/>
      <c r="D128" s="794"/>
      <c r="E128" s="794"/>
      <c r="G128" s="957" t="s">
        <v>148</v>
      </c>
      <c r="H128" s="957"/>
    </row>
    <row r="129" spans="1:8" ht="30.2" customHeight="1" x14ac:dyDescent="0.25">
      <c r="A129" s="169" t="s">
        <v>149</v>
      </c>
      <c r="B129" s="794" t="s">
        <v>150</v>
      </c>
      <c r="C129" s="794"/>
      <c r="D129" s="794"/>
      <c r="E129" s="794"/>
      <c r="G129" s="695"/>
      <c r="H129" s="695"/>
    </row>
    <row r="130" spans="1:8" x14ac:dyDescent="0.25">
      <c r="A130" s="695"/>
      <c r="B130" s="695"/>
      <c r="C130" s="695"/>
      <c r="D130" s="695"/>
      <c r="E130" s="695"/>
      <c r="F130" s="695"/>
      <c r="G130" s="695"/>
      <c r="H130" s="695"/>
    </row>
    <row r="131" spans="1:8" ht="18" customHeight="1" x14ac:dyDescent="0.25">
      <c r="A131" s="561" t="s">
        <v>600</v>
      </c>
      <c r="B131" s="562" t="str">
        <f>IF('Total WQv Calculation'!$B$3="","",'Total WQv Calculation'!$B$3)</f>
        <v/>
      </c>
      <c r="C131" s="501"/>
      <c r="D131" s="501"/>
      <c r="E131" s="501"/>
      <c r="F131" s="501"/>
      <c r="G131" s="501"/>
      <c r="H131" s="501"/>
    </row>
    <row r="132" spans="1:8" x14ac:dyDescent="0.25">
      <c r="A132" s="840" t="s">
        <v>79</v>
      </c>
      <c r="B132" s="840"/>
      <c r="C132" s="840"/>
      <c r="D132" s="840"/>
      <c r="E132" s="840"/>
      <c r="F132" s="840"/>
      <c r="G132" s="840"/>
      <c r="H132" s="840"/>
    </row>
    <row r="133" spans="1:8" ht="46.7" customHeight="1" x14ac:dyDescent="0.25">
      <c r="A133" s="504" t="s">
        <v>493</v>
      </c>
      <c r="B133" s="505" t="s">
        <v>610</v>
      </c>
      <c r="C133" s="578" t="s">
        <v>611</v>
      </c>
      <c r="D133" s="505" t="s">
        <v>612</v>
      </c>
      <c r="E133" s="505" t="s">
        <v>7</v>
      </c>
      <c r="F133" s="505" t="s">
        <v>613</v>
      </c>
      <c r="G133" s="505" t="s">
        <v>614</v>
      </c>
      <c r="H133" s="506" t="s">
        <v>29</v>
      </c>
    </row>
    <row r="134" spans="1:8" ht="30.2" customHeight="1" x14ac:dyDescent="0.25">
      <c r="A134" s="509"/>
      <c r="B134" s="61" t="str">
        <f>IF($A134="","",(LOOKUP($A134,'Catchment Summary Table'!$A$4:$A$33,'Catchment Summary Table'!$B$4:$B$33)))</f>
        <v/>
      </c>
      <c r="C134" s="61" t="str">
        <f>IF($A134="","",(LOOKUP($A134,'Catchment Summary Table'!$A$4:$A$33,'Catchment Summary Table'!$C$4:$C$33)))</f>
        <v/>
      </c>
      <c r="D134" s="61" t="str">
        <f>IF($A134="","",(LOOKUP($A134,'Catchment Summary Table'!$A$4:$A$33,'Catchment Summary Table'!$D$4:$D$33)))</f>
        <v/>
      </c>
      <c r="E134" s="61" t="str">
        <f>IF($A134="","",(LOOKUP($A134,'Catchment Summary Table'!$A$4:$A$33,'Catchment Summary Table'!$E$4:$E$33)))</f>
        <v/>
      </c>
      <c r="F134" s="61" t="str">
        <f>IF($A134="","",(LOOKUP($A134,'Catchment Summary Table'!$A$4:$A$33,'Catchment Summary Table'!$F$4:$F$33)))</f>
        <v/>
      </c>
      <c r="G134" s="286" t="str">
        <f>IF(B134="","",'Total WQv Calculation'!$B$4)</f>
        <v/>
      </c>
      <c r="H134" s="510" t="str">
        <f>IF($A134="","",(LOOKUP($A134,'Catchment Summary Table'!$A$4:$A$33,'Catchment Summary Table'!$G$4:$G$33)))</f>
        <v/>
      </c>
    </row>
    <row r="135" spans="1:8" ht="15" customHeight="1" x14ac:dyDescent="0.25">
      <c r="A135" s="840" t="s">
        <v>505</v>
      </c>
      <c r="B135" s="1000"/>
      <c r="C135" s="1000"/>
      <c r="D135" s="1000"/>
      <c r="E135" s="1000"/>
      <c r="F135" s="1000"/>
      <c r="G135" s="1000"/>
      <c r="H135" s="1000"/>
    </row>
    <row r="136" spans="1:8" ht="15" customHeight="1" x14ac:dyDescent="0.25">
      <c r="A136" s="832" t="s">
        <v>504</v>
      </c>
      <c r="B136" s="833"/>
      <c r="C136" s="301"/>
      <c r="D136" s="558" t="s">
        <v>317</v>
      </c>
      <c r="E136" s="559"/>
      <c r="F136" s="559"/>
      <c r="G136" s="559"/>
      <c r="H136" s="560"/>
    </row>
    <row r="137" spans="1:8" ht="15" customHeight="1" x14ac:dyDescent="0.25">
      <c r="A137" s="840" t="s">
        <v>455</v>
      </c>
      <c r="B137" s="840"/>
      <c r="C137" s="840"/>
      <c r="D137" s="840"/>
      <c r="E137" s="840"/>
      <c r="F137" s="840"/>
      <c r="G137" s="840"/>
      <c r="H137" s="840"/>
    </row>
    <row r="138" spans="1:8" ht="15" customHeight="1" x14ac:dyDescent="0.25">
      <c r="A138" s="752" t="s">
        <v>105</v>
      </c>
      <c r="B138" s="752"/>
      <c r="C138" s="510" t="s">
        <v>144</v>
      </c>
      <c r="D138" s="545" t="str">
        <f>+F134</f>
        <v/>
      </c>
      <c r="E138" s="516" t="s">
        <v>207</v>
      </c>
      <c r="F138" s="752"/>
      <c r="G138" s="752"/>
      <c r="H138" s="752"/>
    </row>
    <row r="139" spans="1:8" ht="15" customHeight="1" x14ac:dyDescent="0.25">
      <c r="A139" s="752" t="s">
        <v>223</v>
      </c>
      <c r="B139" s="752"/>
      <c r="C139" s="536" t="s">
        <v>146</v>
      </c>
      <c r="D139" s="104"/>
      <c r="E139" s="516"/>
      <c r="F139" s="752"/>
      <c r="G139" s="752"/>
      <c r="H139" s="752"/>
    </row>
    <row r="140" spans="1:8" ht="15" customHeight="1" x14ac:dyDescent="0.25">
      <c r="A140" s="752" t="s">
        <v>108</v>
      </c>
      <c r="B140" s="752"/>
      <c r="C140" s="510" t="s">
        <v>149</v>
      </c>
      <c r="D140" s="104"/>
      <c r="E140" s="516" t="s">
        <v>12</v>
      </c>
      <c r="F140" s="752"/>
      <c r="G140" s="752"/>
      <c r="H140" s="752"/>
    </row>
    <row r="141" spans="1:8" ht="15" customHeight="1" x14ac:dyDescent="0.25">
      <c r="A141" s="752" t="s">
        <v>442</v>
      </c>
      <c r="B141" s="752"/>
      <c r="C141" s="510" t="s">
        <v>141</v>
      </c>
      <c r="D141" s="545" t="e">
        <f>IF(D138=0,0,D138/(D139*D140))</f>
        <v>#VALUE!</v>
      </c>
      <c r="E141" s="516" t="s">
        <v>232</v>
      </c>
      <c r="F141" s="752"/>
      <c r="G141" s="752"/>
      <c r="H141" s="752"/>
    </row>
    <row r="142" spans="1:8" ht="30.2" customHeight="1" x14ac:dyDescent="0.25">
      <c r="A142" s="752" t="s">
        <v>417</v>
      </c>
      <c r="B142" s="752"/>
      <c r="C142" s="507"/>
      <c r="D142" s="283"/>
      <c r="E142" s="516" t="s">
        <v>232</v>
      </c>
      <c r="F142" s="1003" t="s">
        <v>477</v>
      </c>
      <c r="G142" s="1004"/>
      <c r="H142" s="1005"/>
    </row>
    <row r="143" spans="1:8" ht="15" customHeight="1" x14ac:dyDescent="0.25">
      <c r="A143" s="752" t="s">
        <v>454</v>
      </c>
      <c r="B143" s="752"/>
      <c r="C143" s="507"/>
      <c r="D143" s="514">
        <f>+D142*D140*D139</f>
        <v>0</v>
      </c>
      <c r="E143" s="516" t="s">
        <v>207</v>
      </c>
      <c r="F143" s="1015" t="str">
        <f>IF(D143&lt;F134,"Practice too small"," ")</f>
        <v>Practice too small</v>
      </c>
      <c r="G143" s="1015"/>
      <c r="H143" s="1015"/>
    </row>
    <row r="144" spans="1:8" ht="15" customHeight="1" x14ac:dyDescent="0.25">
      <c r="A144" s="840" t="s">
        <v>61</v>
      </c>
      <c r="B144" s="840"/>
      <c r="C144" s="840"/>
      <c r="D144" s="840"/>
      <c r="E144" s="840"/>
      <c r="F144" s="840"/>
      <c r="G144" s="840"/>
      <c r="H144" s="840"/>
    </row>
    <row r="145" spans="1:8" ht="15" customHeight="1" x14ac:dyDescent="0.25">
      <c r="A145" s="207" t="s">
        <v>23</v>
      </c>
      <c r="B145" s="247" t="str">
        <f>IF(D143&gt;=F134,F134,"Error")</f>
        <v>Error</v>
      </c>
      <c r="C145" s="538" t="s">
        <v>249</v>
      </c>
      <c r="D145" s="927"/>
      <c r="E145" s="883"/>
      <c r="F145" s="883"/>
      <c r="G145" s="883"/>
      <c r="H145" s="884"/>
    </row>
  </sheetData>
  <sheetProtection password="C7D7" sheet="1" objects="1" scenarios="1" formatColumns="0" formatRows="0"/>
  <mergeCells count="113">
    <mergeCell ref="A142:B142"/>
    <mergeCell ref="F142:H142"/>
    <mergeCell ref="A143:B143"/>
    <mergeCell ref="F143:H143"/>
    <mergeCell ref="A144:H144"/>
    <mergeCell ref="A140:B140"/>
    <mergeCell ref="F140:H140"/>
    <mergeCell ref="A141:B141"/>
    <mergeCell ref="F141:H141"/>
    <mergeCell ref="A132:H132"/>
    <mergeCell ref="A135:H135"/>
    <mergeCell ref="A137:H137"/>
    <mergeCell ref="A138:B138"/>
    <mergeCell ref="F138:H138"/>
    <mergeCell ref="A139:B139"/>
    <mergeCell ref="F139:H139"/>
    <mergeCell ref="A102:H102"/>
    <mergeCell ref="B128:E128"/>
    <mergeCell ref="G128:H128"/>
    <mergeCell ref="D103:H103"/>
    <mergeCell ref="B129:E129"/>
    <mergeCell ref="G129:H129"/>
    <mergeCell ref="A130:H130"/>
    <mergeCell ref="A104:H104"/>
    <mergeCell ref="A125:H125"/>
    <mergeCell ref="B126:E126"/>
    <mergeCell ref="G126:H126"/>
    <mergeCell ref="B127:E127"/>
    <mergeCell ref="G127:H127"/>
    <mergeCell ref="A136:B136"/>
    <mergeCell ref="F100:H100"/>
    <mergeCell ref="A101:B101"/>
    <mergeCell ref="F101:H101"/>
    <mergeCell ref="A51:H51"/>
    <mergeCell ref="A52:B52"/>
    <mergeCell ref="A53:H53"/>
    <mergeCell ref="A58:B58"/>
    <mergeCell ref="F58:H58"/>
    <mergeCell ref="A59:B59"/>
    <mergeCell ref="F59:H59"/>
    <mergeCell ref="A56:B56"/>
    <mergeCell ref="F56:H56"/>
    <mergeCell ref="A57:B57"/>
    <mergeCell ref="F57:H57"/>
    <mergeCell ref="A54:B54"/>
    <mergeCell ref="F54:H54"/>
    <mergeCell ref="A55:B55"/>
    <mergeCell ref="F55:H55"/>
    <mergeCell ref="F96:H96"/>
    <mergeCell ref="A94:B94"/>
    <mergeCell ref="A18:B18"/>
    <mergeCell ref="A19:B19"/>
    <mergeCell ref="F19:H19"/>
    <mergeCell ref="D21:H21"/>
    <mergeCell ref="A48:H48"/>
    <mergeCell ref="B44:E44"/>
    <mergeCell ref="G44:H44"/>
    <mergeCell ref="B45:E45"/>
    <mergeCell ref="G45:H45"/>
    <mergeCell ref="A46:H46"/>
    <mergeCell ref="A41:H41"/>
    <mergeCell ref="B42:E42"/>
    <mergeCell ref="G42:H42"/>
    <mergeCell ref="B43:E43"/>
    <mergeCell ref="G43:H43"/>
    <mergeCell ref="A1:H1"/>
    <mergeCell ref="A20:H20"/>
    <mergeCell ref="A6:H6"/>
    <mergeCell ref="A8:H8"/>
    <mergeCell ref="A13:H13"/>
    <mergeCell ref="B2:E2"/>
    <mergeCell ref="B3:E3"/>
    <mergeCell ref="B4:E4"/>
    <mergeCell ref="B5:E5"/>
    <mergeCell ref="G2:H2"/>
    <mergeCell ref="G3:H3"/>
    <mergeCell ref="G4:H4"/>
    <mergeCell ref="G5:H5"/>
    <mergeCell ref="A12:B12"/>
    <mergeCell ref="A11:H11"/>
    <mergeCell ref="F14:H14"/>
    <mergeCell ref="A14:B14"/>
    <mergeCell ref="F15:H15"/>
    <mergeCell ref="F16:H16"/>
    <mergeCell ref="F17:H17"/>
    <mergeCell ref="F18:H18"/>
    <mergeCell ref="A15:B15"/>
    <mergeCell ref="A16:B16"/>
    <mergeCell ref="A17:B17"/>
    <mergeCell ref="D145:H145"/>
    <mergeCell ref="A60:H60"/>
    <mergeCell ref="A93:H93"/>
    <mergeCell ref="B84:E84"/>
    <mergeCell ref="G84:H84"/>
    <mergeCell ref="B85:E85"/>
    <mergeCell ref="G85:H85"/>
    <mergeCell ref="B86:E86"/>
    <mergeCell ref="G86:H86"/>
    <mergeCell ref="A83:H83"/>
    <mergeCell ref="D61:H61"/>
    <mergeCell ref="A98:B98"/>
    <mergeCell ref="F98:H98"/>
    <mergeCell ref="B87:E87"/>
    <mergeCell ref="G87:H87"/>
    <mergeCell ref="A88:H88"/>
    <mergeCell ref="A90:H90"/>
    <mergeCell ref="A95:H95"/>
    <mergeCell ref="A96:B96"/>
    <mergeCell ref="A97:B97"/>
    <mergeCell ref="F97:H97"/>
    <mergeCell ref="A99:B99"/>
    <mergeCell ref="F99:H99"/>
    <mergeCell ref="A100:B100"/>
  </mergeCells>
  <dataValidations count="1">
    <dataValidation type="list" showInputMessage="1" showErrorMessage="1" promptTitle="Choose Area" sqref="A134 A92 A10 A50">
      <formula1>CatchNo</formula1>
    </dataValidation>
  </dataValidations>
  <pageMargins left="0.7" right="0.7" top="0.75" bottom="0.75" header="0.3" footer="0.3"/>
  <pageSetup orientation="portrait" r:id="rId1"/>
  <headerFooter>
    <oddHeader xml:space="preserve">&amp;C&amp;18Porous Pavement Worksheet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132"/>
  <sheetViews>
    <sheetView view="pageLayout" zoomScaleNormal="100" workbookViewId="0">
      <selection activeCell="A8" sqref="A8"/>
    </sheetView>
  </sheetViews>
  <sheetFormatPr defaultColWidth="9.140625" defaultRowHeight="15" x14ac:dyDescent="0.25"/>
  <cols>
    <col min="1" max="1" width="12.7109375" style="503" customWidth="1"/>
    <col min="2" max="3" width="11.42578125" style="503" customWidth="1"/>
    <col min="4" max="4" width="10.7109375" style="503" customWidth="1"/>
    <col min="5" max="6" width="7.5703125" style="503" customWidth="1"/>
    <col min="7" max="7" width="12.140625" style="503" customWidth="1"/>
    <col min="8" max="8" width="16.85546875" style="503" customWidth="1"/>
    <col min="9" max="9" width="21.140625" style="503" bestFit="1" customWidth="1"/>
    <col min="10" max="10" width="9.140625" style="503"/>
    <col min="11" max="14" width="9.140625" style="503" hidden="1" customWidth="1"/>
    <col min="15" max="16384" width="9.140625" style="503"/>
  </cols>
  <sheetData>
    <row r="1" spans="1:14" x14ac:dyDescent="0.25">
      <c r="A1" s="956" t="s">
        <v>163</v>
      </c>
      <c r="B1" s="956"/>
      <c r="C1" s="956"/>
      <c r="D1" s="956"/>
      <c r="E1" s="956"/>
      <c r="F1" s="956"/>
      <c r="G1" s="956"/>
      <c r="H1" s="956"/>
      <c r="I1" s="503" t="s">
        <v>517</v>
      </c>
      <c r="J1" s="311">
        <f>SUM(D29,D63,D97,D131)</f>
        <v>0</v>
      </c>
    </row>
    <row r="2" spans="1:14" x14ac:dyDescent="0.25">
      <c r="A2" s="956" t="s">
        <v>164</v>
      </c>
      <c r="B2" s="956"/>
      <c r="C2" s="956"/>
      <c r="D2" s="956"/>
      <c r="E2" s="956"/>
      <c r="F2" s="956"/>
      <c r="G2" s="956"/>
      <c r="H2" s="956"/>
      <c r="I2" s="503" t="s">
        <v>5</v>
      </c>
      <c r="J2" s="311">
        <f>SUM(B8,B42,B76,B110)</f>
        <v>0</v>
      </c>
    </row>
    <row r="3" spans="1:14" x14ac:dyDescent="0.25">
      <c r="A3" s="956" t="s">
        <v>165</v>
      </c>
      <c r="B3" s="956"/>
      <c r="C3" s="956"/>
      <c r="D3" s="956"/>
      <c r="E3" s="956"/>
      <c r="F3" s="956"/>
      <c r="G3" s="956"/>
      <c r="H3" s="956"/>
      <c r="I3" s="503" t="s">
        <v>521</v>
      </c>
      <c r="J3" s="315">
        <f>SUM(IFERROR(C8-C9,0),IFERROR(C42-C43,0),IFERROR(C76-C77,0),IFERROR(C110-C111,0))</f>
        <v>0</v>
      </c>
      <c r="K3" s="315">
        <f>IF(ISERROR((C8-C9)),0,(C8-C9))</f>
        <v>0</v>
      </c>
      <c r="L3" s="315">
        <f>IF(ISERROR((C42-C43)),0,(C42-C43))</f>
        <v>0</v>
      </c>
      <c r="M3" s="315">
        <f>IF(ISERROR((C76-C77)),0,(C76-C77))</f>
        <v>0</v>
      </c>
      <c r="N3" s="315">
        <f>IF(ISERROR((C110-C111)),0,(C110-C111))</f>
        <v>0</v>
      </c>
    </row>
    <row r="4" spans="1:14" x14ac:dyDescent="0.25">
      <c r="A4" s="1016"/>
      <c r="B4" s="695"/>
      <c r="C4" s="695"/>
      <c r="D4" s="695"/>
      <c r="E4" s="695"/>
      <c r="F4" s="695"/>
      <c r="G4" s="695"/>
      <c r="H4" s="1017"/>
      <c r="I4" s="529"/>
      <c r="J4" s="311"/>
    </row>
    <row r="5" spans="1:14" ht="18" customHeight="1" x14ac:dyDescent="0.25">
      <c r="A5" s="561" t="s">
        <v>600</v>
      </c>
      <c r="B5" s="562" t="str">
        <f>IF('Total WQv Calculation'!$B$3="","",'Total WQv Calculation'!$B$3)</f>
        <v/>
      </c>
      <c r="C5" s="31"/>
      <c r="D5" s="31"/>
      <c r="E5" s="31"/>
      <c r="F5" s="31"/>
      <c r="G5" s="31"/>
      <c r="H5" s="31"/>
      <c r="J5" s="316"/>
    </row>
    <row r="6" spans="1:14" ht="15" customHeight="1" x14ac:dyDescent="0.25">
      <c r="A6" s="730" t="s">
        <v>79</v>
      </c>
      <c r="B6" s="731"/>
      <c r="C6" s="731"/>
      <c r="D6" s="731"/>
      <c r="E6" s="731"/>
      <c r="F6" s="731"/>
      <c r="G6" s="731"/>
      <c r="H6" s="732"/>
      <c r="I6" s="143" t="s">
        <v>553</v>
      </c>
      <c r="J6" s="315">
        <f>SUM(C9,C43,C77,C111)</f>
        <v>0</v>
      </c>
    </row>
    <row r="7" spans="1:14" ht="46.7" customHeight="1" x14ac:dyDescent="0.25">
      <c r="A7" s="504" t="s">
        <v>493</v>
      </c>
      <c r="B7" s="505" t="s">
        <v>610</v>
      </c>
      <c r="C7" s="578" t="s">
        <v>611</v>
      </c>
      <c r="D7" s="505" t="s">
        <v>612</v>
      </c>
      <c r="E7" s="505" t="s">
        <v>7</v>
      </c>
      <c r="F7" s="505" t="s">
        <v>613</v>
      </c>
      <c r="G7" s="505" t="s">
        <v>614</v>
      </c>
      <c r="H7" s="506" t="s">
        <v>29</v>
      </c>
    </row>
    <row r="8" spans="1:14" ht="30.2" customHeight="1" x14ac:dyDescent="0.25">
      <c r="A8" s="509"/>
      <c r="B8" s="61" t="str">
        <f>IF($A8="","",(LOOKUP($A8,'Catchment Summary Table'!$A$4:$A$33,'Catchment Summary Table'!$B$4:$B$33)))</f>
        <v/>
      </c>
      <c r="C8" s="61" t="str">
        <f>IF($A8="","",(LOOKUP($A8,'Catchment Summary Table'!$A$4:$A$33,'Catchment Summary Table'!$C$4:$C$33)))</f>
        <v/>
      </c>
      <c r="D8" s="61" t="str">
        <f>IF($A8="","",(LOOKUP($A8,'Catchment Summary Table'!$A$4:$A$33,'Catchment Summary Table'!$D$4:$D$33)))</f>
        <v/>
      </c>
      <c r="E8" s="61" t="str">
        <f>IF($A8="","",(LOOKUP($A8,'Catchment Summary Table'!$A$4:$A$33,'Catchment Summary Table'!$E$4:$E$33)))</f>
        <v/>
      </c>
      <c r="F8" s="61" t="str">
        <f>IF($A8="","",(LOOKUP($A8,'Catchment Summary Table'!$A$4:$A$33,'Catchment Summary Table'!$F$4:$F$33)))</f>
        <v/>
      </c>
      <c r="G8" s="286">
        <f>'Total WQv Calculation'!$B$4</f>
        <v>0</v>
      </c>
      <c r="H8" s="510" t="str">
        <f>IF($A8="","",(LOOKUP($A8,'Catchment Summary Table'!$A$4:$A$33,'Catchment Summary Table'!$G$4:$G$33)))</f>
        <v/>
      </c>
    </row>
    <row r="9" spans="1:14" ht="30.2" customHeight="1" x14ac:dyDescent="0.25">
      <c r="A9" s="1024" t="s">
        <v>549</v>
      </c>
      <c r="B9" s="936"/>
      <c r="C9" s="297"/>
      <c r="D9" s="239" t="str">
        <f>IF(ISERROR((C8-C9)/B8),"",(C8-C9)/B8)</f>
        <v/>
      </c>
      <c r="E9" s="302" t="str">
        <f>IF(ISERROR(D9*100*0.009+0.05),"",(D9*100*0.009+0.05))</f>
        <v/>
      </c>
      <c r="F9" s="293" t="str">
        <f>IF(ISERROR(E9*B8*G8/12*43560 ),"",(E9*B8*G8/12*43560 ))</f>
        <v/>
      </c>
      <c r="G9" s="744" t="s">
        <v>550</v>
      </c>
      <c r="H9" s="916"/>
    </row>
    <row r="10" spans="1:14" ht="15" customHeight="1" x14ac:dyDescent="0.25">
      <c r="A10" s="730" t="s">
        <v>509</v>
      </c>
      <c r="B10" s="731"/>
      <c r="C10" s="731"/>
      <c r="D10" s="731"/>
      <c r="E10" s="731"/>
      <c r="F10" s="731"/>
      <c r="G10" s="731"/>
      <c r="H10" s="732"/>
    </row>
    <row r="11" spans="1:14" ht="15" customHeight="1" x14ac:dyDescent="0.25">
      <c r="A11" s="958" t="s">
        <v>216</v>
      </c>
      <c r="B11" s="710"/>
      <c r="C11" s="278"/>
      <c r="D11" s="727"/>
      <c r="E11" s="712"/>
      <c r="F11" s="712"/>
      <c r="G11" s="712"/>
      <c r="H11" s="713"/>
    </row>
    <row r="12" spans="1:14" ht="15" customHeight="1" x14ac:dyDescent="0.25">
      <c r="A12" s="954" t="s">
        <v>506</v>
      </c>
      <c r="B12" s="710"/>
      <c r="C12" s="352"/>
      <c r="D12" s="725" t="str">
        <f>IF(C12="","",IF(C12="No", "Okay","Design as a Bioretention practice"))</f>
        <v/>
      </c>
      <c r="E12" s="1025"/>
      <c r="F12" s="1025"/>
      <c r="G12" s="1025"/>
      <c r="H12" s="1026"/>
    </row>
    <row r="13" spans="1:14" ht="15" customHeight="1" x14ac:dyDescent="0.25">
      <c r="A13" s="954" t="s">
        <v>316</v>
      </c>
      <c r="B13" s="710"/>
      <c r="C13" s="300"/>
      <c r="D13" s="634" t="s">
        <v>317</v>
      </c>
      <c r="E13" s="725" t="str">
        <f>IF(C13="","",IF(C13&gt;=0.5,"Okay","Error, Infiltration rate is too low, practice is not appropriate"))</f>
        <v/>
      </c>
      <c r="F13" s="1025"/>
      <c r="G13" s="1025"/>
      <c r="H13" s="1026"/>
    </row>
    <row r="14" spans="1:14" ht="15" customHeight="1" x14ac:dyDescent="0.25">
      <c r="A14" s="730" t="s">
        <v>117</v>
      </c>
      <c r="B14" s="731"/>
      <c r="C14" s="731"/>
      <c r="D14" s="731"/>
      <c r="E14" s="731"/>
      <c r="F14" s="731"/>
      <c r="G14" s="731"/>
      <c r="H14" s="732"/>
    </row>
    <row r="15" spans="1:14" ht="15" customHeight="1" x14ac:dyDescent="0.25">
      <c r="A15" s="1027" t="s">
        <v>528</v>
      </c>
      <c r="B15" s="1028"/>
      <c r="C15" s="710"/>
      <c r="D15" s="180"/>
      <c r="E15" s="1033"/>
      <c r="F15" s="712"/>
      <c r="G15" s="712"/>
      <c r="H15" s="713"/>
    </row>
    <row r="16" spans="1:14" ht="15" customHeight="1" x14ac:dyDescent="0.25">
      <c r="A16" s="1027" t="s">
        <v>529</v>
      </c>
      <c r="B16" s="1028"/>
      <c r="C16" s="710"/>
      <c r="D16" s="281"/>
      <c r="E16" s="711"/>
      <c r="F16" s="712"/>
      <c r="G16" s="712"/>
      <c r="H16" s="713"/>
    </row>
    <row r="17" spans="1:9" ht="30.2" customHeight="1" x14ac:dyDescent="0.25">
      <c r="A17" s="652" t="s">
        <v>229</v>
      </c>
      <c r="B17" s="653"/>
      <c r="C17" s="510" t="s">
        <v>230</v>
      </c>
      <c r="D17" s="314">
        <f>D15*D16</f>
        <v>0</v>
      </c>
      <c r="E17" s="183" t="s">
        <v>232</v>
      </c>
      <c r="F17" s="1021"/>
      <c r="G17" s="1022"/>
      <c r="H17" s="1023"/>
    </row>
    <row r="18" spans="1:9" ht="15" customHeight="1" x14ac:dyDescent="0.25">
      <c r="A18" s="652" t="s">
        <v>575</v>
      </c>
      <c r="B18" s="653"/>
      <c r="C18" s="510" t="s">
        <v>156</v>
      </c>
      <c r="D18" s="279"/>
      <c r="E18" s="516" t="s">
        <v>12</v>
      </c>
      <c r="F18" s="656" t="s">
        <v>561</v>
      </c>
      <c r="G18" s="657"/>
      <c r="H18" s="658"/>
    </row>
    <row r="19" spans="1:9" ht="30.2" customHeight="1" x14ac:dyDescent="0.25">
      <c r="A19" s="954" t="s">
        <v>234</v>
      </c>
      <c r="B19" s="653"/>
      <c r="C19" s="510" t="s">
        <v>157</v>
      </c>
      <c r="D19" s="279"/>
      <c r="E19" s="516" t="s">
        <v>12</v>
      </c>
      <c r="F19" s="949" t="s">
        <v>562</v>
      </c>
      <c r="G19" s="950"/>
      <c r="H19" s="951"/>
    </row>
    <row r="20" spans="1:9" ht="30.2" customHeight="1" x14ac:dyDescent="0.25">
      <c r="A20" s="954" t="s">
        <v>240</v>
      </c>
      <c r="B20" s="653"/>
      <c r="C20" s="510" t="s">
        <v>158</v>
      </c>
      <c r="D20" s="279"/>
      <c r="E20" s="516" t="s">
        <v>12</v>
      </c>
      <c r="F20" s="949" t="s">
        <v>563</v>
      </c>
      <c r="G20" s="950"/>
      <c r="H20" s="951"/>
    </row>
    <row r="21" spans="1:9" ht="30.2" customHeight="1" x14ac:dyDescent="0.25">
      <c r="A21" s="954" t="s">
        <v>238</v>
      </c>
      <c r="B21" s="955"/>
      <c r="C21" s="510" t="s">
        <v>159</v>
      </c>
      <c r="D21" s="181"/>
      <c r="E21" s="516"/>
      <c r="F21" s="949" t="s">
        <v>582</v>
      </c>
      <c r="G21" s="950"/>
      <c r="H21" s="951"/>
    </row>
    <row r="22" spans="1:9" ht="30.2" customHeight="1" x14ac:dyDescent="0.25">
      <c r="A22" s="954" t="s">
        <v>239</v>
      </c>
      <c r="B22" s="955"/>
      <c r="C22" s="510" t="s">
        <v>160</v>
      </c>
      <c r="D22" s="181"/>
      <c r="E22" s="516"/>
      <c r="F22" s="949" t="s">
        <v>583</v>
      </c>
      <c r="G22" s="950"/>
      <c r="H22" s="951"/>
    </row>
    <row r="23" spans="1:9" ht="30.2" customHeight="1" x14ac:dyDescent="0.25">
      <c r="A23" s="652" t="s">
        <v>101</v>
      </c>
      <c r="B23" s="653"/>
      <c r="C23" s="510" t="s">
        <v>161</v>
      </c>
      <c r="D23" s="514">
        <f>+D17*D18*D21</f>
        <v>0</v>
      </c>
      <c r="E23" s="65" t="s">
        <v>207</v>
      </c>
      <c r="F23" s="949"/>
      <c r="G23" s="950"/>
      <c r="H23" s="951"/>
    </row>
    <row r="24" spans="1:9" ht="30.2" customHeight="1" x14ac:dyDescent="0.25">
      <c r="A24" s="954" t="s">
        <v>241</v>
      </c>
      <c r="B24" s="955"/>
      <c r="C24" s="510" t="s">
        <v>162</v>
      </c>
      <c r="D24" s="514">
        <f>+D17*D19*D22</f>
        <v>0</v>
      </c>
      <c r="E24" s="65" t="s">
        <v>207</v>
      </c>
      <c r="F24" s="949"/>
      <c r="G24" s="950"/>
      <c r="H24" s="951"/>
    </row>
    <row r="25" spans="1:9" ht="30" customHeight="1" x14ac:dyDescent="0.25">
      <c r="A25" s="954" t="s">
        <v>119</v>
      </c>
      <c r="B25" s="955"/>
      <c r="C25" s="510"/>
      <c r="D25" s="514">
        <f>+D20*D17</f>
        <v>0</v>
      </c>
      <c r="E25" s="65" t="s">
        <v>207</v>
      </c>
      <c r="F25" s="659"/>
      <c r="G25" s="660"/>
      <c r="H25" s="661"/>
    </row>
    <row r="26" spans="1:9" ht="17.25" x14ac:dyDescent="0.25">
      <c r="A26" s="1031" t="s">
        <v>118</v>
      </c>
      <c r="B26" s="1032"/>
      <c r="C26" s="182"/>
      <c r="D26" s="280">
        <f>+D23+D24+D25</f>
        <v>0</v>
      </c>
      <c r="E26" s="65" t="s">
        <v>207</v>
      </c>
      <c r="F26" s="659"/>
      <c r="G26" s="660"/>
      <c r="H26" s="661"/>
    </row>
    <row r="27" spans="1:9" ht="15" customHeight="1" x14ac:dyDescent="0.25">
      <c r="A27" s="730" t="s">
        <v>88</v>
      </c>
      <c r="B27" s="731"/>
      <c r="C27" s="731"/>
      <c r="D27" s="731"/>
      <c r="E27" s="731"/>
      <c r="F27" s="731"/>
      <c r="G27" s="731"/>
      <c r="H27" s="732"/>
      <c r="I27" s="528"/>
    </row>
    <row r="28" spans="1:9" ht="15" customHeight="1" x14ac:dyDescent="0.25">
      <c r="A28" s="1018" t="s">
        <v>456</v>
      </c>
      <c r="B28" s="1019"/>
      <c r="C28" s="1020"/>
      <c r="D28" s="371">
        <f>IF(C11="A",1,0)+IF(C11="B",1,0)+IF(C11="C",0.4,0)+IF(C11="D",0.4,0)</f>
        <v>0</v>
      </c>
      <c r="E28" s="1034"/>
      <c r="F28" s="709"/>
      <c r="G28" s="709"/>
      <c r="H28" s="710"/>
    </row>
    <row r="29" spans="1:9" ht="15" customHeight="1" x14ac:dyDescent="0.25">
      <c r="A29" s="927" t="s">
        <v>32</v>
      </c>
      <c r="B29" s="883"/>
      <c r="C29" s="884"/>
      <c r="D29" s="282">
        <f>PRODUCT(F9,D28)</f>
        <v>0</v>
      </c>
      <c r="E29" s="67" t="s">
        <v>249</v>
      </c>
      <c r="F29" s="928"/>
      <c r="G29" s="709"/>
      <c r="H29" s="710"/>
    </row>
    <row r="30" spans="1:9" x14ac:dyDescent="0.25">
      <c r="A30" s="677" t="s">
        <v>511</v>
      </c>
      <c r="B30" s="1029"/>
      <c r="C30" s="1030"/>
      <c r="D30" s="510" t="str">
        <f>IF(F9&lt;=D26,"OK","ERROR")</f>
        <v>ERROR</v>
      </c>
      <c r="E30" s="752"/>
      <c r="F30" s="689"/>
      <c r="G30" s="689"/>
      <c r="H30" s="689"/>
    </row>
    <row r="31" spans="1:9" x14ac:dyDescent="0.25">
      <c r="A31" s="520"/>
      <c r="B31" s="579"/>
      <c r="C31" s="579"/>
      <c r="D31" s="501"/>
      <c r="E31" s="501"/>
      <c r="F31" s="136"/>
      <c r="G31" s="136"/>
      <c r="H31" s="136"/>
    </row>
    <row r="32" spans="1:9" x14ac:dyDescent="0.25">
      <c r="A32" s="520"/>
      <c r="B32" s="579"/>
      <c r="C32" s="579"/>
      <c r="D32" s="501"/>
      <c r="E32" s="501"/>
      <c r="F32" s="136"/>
      <c r="G32" s="136"/>
      <c r="H32" s="136"/>
    </row>
    <row r="33" spans="1:10" x14ac:dyDescent="0.25">
      <c r="A33" s="520"/>
      <c r="B33" s="579"/>
      <c r="C33" s="579"/>
      <c r="D33" s="501"/>
      <c r="E33" s="501"/>
      <c r="F33" s="136"/>
      <c r="G33" s="136"/>
      <c r="H33" s="136"/>
    </row>
    <row r="34" spans="1:10" x14ac:dyDescent="0.25">
      <c r="A34" s="520"/>
      <c r="B34" s="579"/>
      <c r="C34" s="579"/>
      <c r="D34" s="501"/>
      <c r="E34" s="501"/>
      <c r="F34" s="136"/>
      <c r="G34" s="136"/>
      <c r="H34" s="136"/>
    </row>
    <row r="35" spans="1:10" ht="15" customHeight="1" x14ac:dyDescent="0.25">
      <c r="A35" s="956" t="s">
        <v>163</v>
      </c>
      <c r="B35" s="956"/>
      <c r="C35" s="956"/>
      <c r="D35" s="956"/>
      <c r="E35" s="956"/>
      <c r="F35" s="956"/>
      <c r="G35" s="956"/>
      <c r="H35" s="956"/>
    </row>
    <row r="36" spans="1:10" ht="15" customHeight="1" x14ac:dyDescent="0.25">
      <c r="A36" s="956" t="s">
        <v>164</v>
      </c>
      <c r="B36" s="956"/>
      <c r="C36" s="956"/>
      <c r="D36" s="956"/>
      <c r="E36" s="956"/>
      <c r="F36" s="956"/>
      <c r="G36" s="956"/>
      <c r="H36" s="956"/>
    </row>
    <row r="37" spans="1:10" ht="15" customHeight="1" x14ac:dyDescent="0.25">
      <c r="A37" s="956" t="s">
        <v>165</v>
      </c>
      <c r="B37" s="956"/>
      <c r="C37" s="956"/>
      <c r="D37" s="956"/>
      <c r="E37" s="956"/>
      <c r="F37" s="956"/>
      <c r="G37" s="956"/>
      <c r="H37" s="956"/>
    </row>
    <row r="38" spans="1:10" ht="15" customHeight="1" x14ac:dyDescent="0.25">
      <c r="A38" s="1016"/>
      <c r="B38" s="695"/>
      <c r="C38" s="695"/>
      <c r="D38" s="695"/>
      <c r="E38" s="695"/>
      <c r="F38" s="695"/>
      <c r="G38" s="695"/>
      <c r="H38" s="1017"/>
    </row>
    <row r="39" spans="1:10" ht="18" customHeight="1" x14ac:dyDescent="0.25">
      <c r="A39" s="561" t="s">
        <v>600</v>
      </c>
      <c r="B39" s="562" t="str">
        <f>IF('Total WQv Calculation'!$B$3="","",'Total WQv Calculation'!$B$3)</f>
        <v/>
      </c>
      <c r="C39" s="31"/>
      <c r="D39" s="31"/>
      <c r="E39" s="31"/>
      <c r="F39" s="31"/>
      <c r="G39" s="31"/>
      <c r="H39" s="31"/>
      <c r="J39" s="316"/>
    </row>
    <row r="40" spans="1:10" ht="15" customHeight="1" x14ac:dyDescent="0.25">
      <c r="A40" s="730" t="s">
        <v>79</v>
      </c>
      <c r="B40" s="731"/>
      <c r="C40" s="731"/>
      <c r="D40" s="731"/>
      <c r="E40" s="731"/>
      <c r="F40" s="731"/>
      <c r="G40" s="731"/>
      <c r="H40" s="732"/>
      <c r="I40" s="143"/>
      <c r="J40" s="315"/>
    </row>
    <row r="41" spans="1:10" ht="46.7" customHeight="1" x14ac:dyDescent="0.25">
      <c r="A41" s="504" t="s">
        <v>493</v>
      </c>
      <c r="B41" s="505" t="s">
        <v>610</v>
      </c>
      <c r="C41" s="578" t="s">
        <v>611</v>
      </c>
      <c r="D41" s="505" t="s">
        <v>612</v>
      </c>
      <c r="E41" s="505" t="s">
        <v>7</v>
      </c>
      <c r="F41" s="505" t="s">
        <v>613</v>
      </c>
      <c r="G41" s="505" t="s">
        <v>614</v>
      </c>
      <c r="H41" s="506" t="s">
        <v>29</v>
      </c>
    </row>
    <row r="42" spans="1:10" ht="30.2" customHeight="1" x14ac:dyDescent="0.25">
      <c r="A42" s="509"/>
      <c r="B42" s="61" t="str">
        <f>IF($A42="","",(LOOKUP($A42,'Catchment Summary Table'!$A$4:$A$33,'Catchment Summary Table'!$B$4:$B$33)))</f>
        <v/>
      </c>
      <c r="C42" s="61" t="str">
        <f>IF($A42="","",(LOOKUP($A42,'Catchment Summary Table'!$A$4:$A$33,'Catchment Summary Table'!$C$4:$C$33)))</f>
        <v/>
      </c>
      <c r="D42" s="61" t="str">
        <f>IF($A42="","",(LOOKUP($A42,'Catchment Summary Table'!$A$4:$A$33,'Catchment Summary Table'!$D$4:$D$33)))</f>
        <v/>
      </c>
      <c r="E42" s="61" t="str">
        <f>IF($A42="","",(LOOKUP($A42,'Catchment Summary Table'!$A$4:$A$33,'Catchment Summary Table'!$E$4:$E$33)))</f>
        <v/>
      </c>
      <c r="F42" s="61" t="str">
        <f>IF($A42="","",(LOOKUP($A42,'Catchment Summary Table'!$A$4:$A$33,'Catchment Summary Table'!$F$4:$F$33)))</f>
        <v/>
      </c>
      <c r="G42" s="286">
        <f>'Total WQv Calculation'!$B$4</f>
        <v>0</v>
      </c>
      <c r="H42" s="510" t="str">
        <f>IF($A42="","",(LOOKUP($A42,'Catchment Summary Table'!$A$4:$A$33,'Catchment Summary Table'!$G$4:$G$33)))</f>
        <v/>
      </c>
    </row>
    <row r="43" spans="1:10" ht="30.2" customHeight="1" x14ac:dyDescent="0.25">
      <c r="A43" s="1024" t="s">
        <v>549</v>
      </c>
      <c r="B43" s="936"/>
      <c r="C43" s="297"/>
      <c r="D43" s="239" t="str">
        <f>IF(ISERROR((C42-C43)/B42),"",(C42-C43)/B42)</f>
        <v/>
      </c>
      <c r="E43" s="302" t="str">
        <f>IF(ISERROR(D43*100*0.009+0.05),"",(D43*100*0.009+0.05))</f>
        <v/>
      </c>
      <c r="F43" s="293" t="str">
        <f>IF(ISERROR(E43*B42*G42/12*43560 ),"",(E43*B42*G42/12*43560 ))</f>
        <v/>
      </c>
      <c r="G43" s="744" t="s">
        <v>550</v>
      </c>
      <c r="H43" s="916"/>
    </row>
    <row r="44" spans="1:10" ht="15" customHeight="1" x14ac:dyDescent="0.25">
      <c r="A44" s="730" t="s">
        <v>509</v>
      </c>
      <c r="B44" s="731"/>
      <c r="C44" s="731"/>
      <c r="D44" s="731"/>
      <c r="E44" s="731"/>
      <c r="F44" s="731"/>
      <c r="G44" s="731"/>
      <c r="H44" s="732"/>
    </row>
    <row r="45" spans="1:10" ht="15" customHeight="1" x14ac:dyDescent="0.25">
      <c r="A45" s="958" t="s">
        <v>216</v>
      </c>
      <c r="B45" s="710"/>
      <c r="C45" s="278"/>
      <c r="D45" s="727"/>
      <c r="E45" s="712"/>
      <c r="F45" s="712"/>
      <c r="G45" s="712"/>
      <c r="H45" s="713"/>
    </row>
    <row r="46" spans="1:10" ht="15" customHeight="1" x14ac:dyDescent="0.25">
      <c r="A46" s="954" t="s">
        <v>506</v>
      </c>
      <c r="B46" s="710"/>
      <c r="C46" s="352"/>
      <c r="D46" s="725" t="str">
        <f>IF(C46="","",IF(C46="No", "Okay","Design as a Bioretention practice"))</f>
        <v/>
      </c>
      <c r="E46" s="1025"/>
      <c r="F46" s="1025"/>
      <c r="G46" s="1025"/>
      <c r="H46" s="1026"/>
    </row>
    <row r="47" spans="1:10" ht="15" customHeight="1" x14ac:dyDescent="0.25">
      <c r="A47" s="954" t="s">
        <v>316</v>
      </c>
      <c r="B47" s="710"/>
      <c r="C47" s="300"/>
      <c r="D47" s="634" t="s">
        <v>317</v>
      </c>
      <c r="E47" s="725" t="str">
        <f>IF(B47="","",IF(B47&gt;=0.5,"Okay","Error, Infiltration rate is too low, practice is not appropriate"))</f>
        <v/>
      </c>
      <c r="F47" s="1025"/>
      <c r="G47" s="1025"/>
      <c r="H47" s="1026"/>
    </row>
    <row r="48" spans="1:10" ht="15" customHeight="1" x14ac:dyDescent="0.25">
      <c r="A48" s="730" t="s">
        <v>117</v>
      </c>
      <c r="B48" s="731"/>
      <c r="C48" s="731"/>
      <c r="D48" s="731"/>
      <c r="E48" s="731"/>
      <c r="F48" s="731"/>
      <c r="G48" s="731"/>
      <c r="H48" s="732"/>
    </row>
    <row r="49" spans="1:9" ht="15" customHeight="1" x14ac:dyDescent="0.25">
      <c r="A49" s="1027" t="s">
        <v>528</v>
      </c>
      <c r="B49" s="1028"/>
      <c r="C49" s="710"/>
      <c r="D49" s="180"/>
      <c r="E49" s="1033"/>
      <c r="F49" s="712"/>
      <c r="G49" s="712"/>
      <c r="H49" s="713"/>
    </row>
    <row r="50" spans="1:9" ht="30.2" customHeight="1" x14ac:dyDescent="0.25">
      <c r="A50" s="1027" t="s">
        <v>529</v>
      </c>
      <c r="B50" s="1028"/>
      <c r="C50" s="710"/>
      <c r="D50" s="281"/>
      <c r="E50" s="711"/>
      <c r="F50" s="712"/>
      <c r="G50" s="712"/>
      <c r="H50" s="713"/>
    </row>
    <row r="51" spans="1:9" ht="15" customHeight="1" x14ac:dyDescent="0.25">
      <c r="A51" s="652" t="s">
        <v>229</v>
      </c>
      <c r="B51" s="653"/>
      <c r="C51" s="510" t="s">
        <v>230</v>
      </c>
      <c r="D51" s="314">
        <f>D49*D50</f>
        <v>0</v>
      </c>
      <c r="E51" s="183" t="s">
        <v>232</v>
      </c>
      <c r="F51" s="1021"/>
      <c r="G51" s="1022"/>
      <c r="H51" s="1023"/>
    </row>
    <row r="52" spans="1:9" ht="15" customHeight="1" x14ac:dyDescent="0.25">
      <c r="A52" s="652" t="s">
        <v>575</v>
      </c>
      <c r="B52" s="653"/>
      <c r="C52" s="510" t="s">
        <v>156</v>
      </c>
      <c r="D52" s="279"/>
      <c r="E52" s="516" t="s">
        <v>12</v>
      </c>
      <c r="F52" s="656" t="s">
        <v>166</v>
      </c>
      <c r="G52" s="657"/>
      <c r="H52" s="658"/>
    </row>
    <row r="53" spans="1:9" ht="30.2" customHeight="1" x14ac:dyDescent="0.25">
      <c r="A53" s="954" t="s">
        <v>234</v>
      </c>
      <c r="B53" s="653"/>
      <c r="C53" s="510" t="s">
        <v>157</v>
      </c>
      <c r="D53" s="279"/>
      <c r="E53" s="516" t="s">
        <v>12</v>
      </c>
      <c r="F53" s="949" t="s">
        <v>233</v>
      </c>
      <c r="G53" s="950"/>
      <c r="H53" s="951"/>
    </row>
    <row r="54" spans="1:9" ht="30.2" customHeight="1" x14ac:dyDescent="0.25">
      <c r="A54" s="954" t="s">
        <v>240</v>
      </c>
      <c r="B54" s="653"/>
      <c r="C54" s="510" t="s">
        <v>158</v>
      </c>
      <c r="D54" s="279"/>
      <c r="E54" s="516" t="s">
        <v>12</v>
      </c>
      <c r="F54" s="949" t="s">
        <v>235</v>
      </c>
      <c r="G54" s="950"/>
      <c r="H54" s="951"/>
    </row>
    <row r="55" spans="1:9" ht="30.2" customHeight="1" x14ac:dyDescent="0.25">
      <c r="A55" s="954" t="s">
        <v>238</v>
      </c>
      <c r="B55" s="955"/>
      <c r="C55" s="510" t="s">
        <v>159</v>
      </c>
      <c r="D55" s="181"/>
      <c r="E55" s="516"/>
      <c r="F55" s="949" t="s">
        <v>582</v>
      </c>
      <c r="G55" s="950"/>
      <c r="H55" s="951"/>
    </row>
    <row r="56" spans="1:9" ht="30.2" customHeight="1" x14ac:dyDescent="0.25">
      <c r="A56" s="954" t="s">
        <v>239</v>
      </c>
      <c r="B56" s="955"/>
      <c r="C56" s="510" t="s">
        <v>160</v>
      </c>
      <c r="D56" s="181"/>
      <c r="E56" s="516"/>
      <c r="F56" s="949" t="s">
        <v>583</v>
      </c>
      <c r="G56" s="950"/>
      <c r="H56" s="951"/>
    </row>
    <row r="57" spans="1:9" ht="30.2" customHeight="1" x14ac:dyDescent="0.25">
      <c r="A57" s="652" t="s">
        <v>101</v>
      </c>
      <c r="B57" s="653"/>
      <c r="C57" s="510" t="s">
        <v>161</v>
      </c>
      <c r="D57" s="514">
        <f>+D51*D52*D55</f>
        <v>0</v>
      </c>
      <c r="E57" s="65" t="s">
        <v>207</v>
      </c>
      <c r="F57" s="949"/>
      <c r="G57" s="950"/>
      <c r="H57" s="951"/>
    </row>
    <row r="58" spans="1:9" ht="30.2" customHeight="1" x14ac:dyDescent="0.25">
      <c r="A58" s="954" t="s">
        <v>241</v>
      </c>
      <c r="B58" s="955"/>
      <c r="C58" s="510" t="s">
        <v>162</v>
      </c>
      <c r="D58" s="514">
        <f>+D51*D53*D56</f>
        <v>0</v>
      </c>
      <c r="E58" s="65" t="s">
        <v>207</v>
      </c>
      <c r="F58" s="949"/>
      <c r="G58" s="950"/>
      <c r="H58" s="951"/>
    </row>
    <row r="59" spans="1:9" ht="30.2" customHeight="1" x14ac:dyDescent="0.25">
      <c r="A59" s="954" t="s">
        <v>119</v>
      </c>
      <c r="B59" s="955"/>
      <c r="C59" s="510"/>
      <c r="D59" s="514">
        <f>+D54*D51</f>
        <v>0</v>
      </c>
      <c r="E59" s="65" t="s">
        <v>207</v>
      </c>
      <c r="F59" s="659"/>
      <c r="G59" s="660"/>
      <c r="H59" s="661"/>
    </row>
    <row r="60" spans="1:9" ht="17.25" x14ac:dyDescent="0.25">
      <c r="A60" s="1031" t="s">
        <v>118</v>
      </c>
      <c r="B60" s="1032"/>
      <c r="C60" s="182"/>
      <c r="D60" s="280">
        <f>+D57+D58+D59</f>
        <v>0</v>
      </c>
      <c r="E60" s="65" t="s">
        <v>207</v>
      </c>
      <c r="F60" s="659"/>
      <c r="G60" s="660"/>
      <c r="H60" s="661"/>
    </row>
    <row r="61" spans="1:9" ht="15" customHeight="1" x14ac:dyDescent="0.25">
      <c r="A61" s="730" t="s">
        <v>88</v>
      </c>
      <c r="B61" s="731"/>
      <c r="C61" s="731"/>
      <c r="D61" s="731"/>
      <c r="E61" s="731"/>
      <c r="F61" s="731"/>
      <c r="G61" s="731"/>
      <c r="H61" s="732"/>
      <c r="I61" s="528"/>
    </row>
    <row r="62" spans="1:9" ht="15" customHeight="1" x14ac:dyDescent="0.25">
      <c r="A62" s="1018" t="s">
        <v>456</v>
      </c>
      <c r="B62" s="1019"/>
      <c r="C62" s="1020"/>
      <c r="D62" s="371">
        <f>IF(C45="A",1,0)+IF(C45="B",1,0)+IF(C45="C",0.4,0)+IF(C45="D",0.4,0)</f>
        <v>0</v>
      </c>
      <c r="E62" s="1034"/>
      <c r="F62" s="709"/>
      <c r="G62" s="709"/>
      <c r="H62" s="710"/>
    </row>
    <row r="63" spans="1:9" ht="15" customHeight="1" x14ac:dyDescent="0.25">
      <c r="A63" s="927" t="s">
        <v>32</v>
      </c>
      <c r="B63" s="883"/>
      <c r="C63" s="884"/>
      <c r="D63" s="282">
        <f>PRODUCT(F43,D62)</f>
        <v>0</v>
      </c>
      <c r="E63" s="67" t="s">
        <v>249</v>
      </c>
      <c r="F63" s="928"/>
      <c r="G63" s="709"/>
      <c r="H63" s="710"/>
    </row>
    <row r="64" spans="1:9" ht="15" customHeight="1" x14ac:dyDescent="0.25">
      <c r="A64" s="677" t="s">
        <v>511</v>
      </c>
      <c r="B64" s="1029"/>
      <c r="C64" s="1030"/>
      <c r="D64" s="510" t="str">
        <f>IF(F43&lt;=D60,"OK","ERROR")</f>
        <v>ERROR</v>
      </c>
      <c r="E64" s="752"/>
      <c r="F64" s="689"/>
      <c r="G64" s="689"/>
      <c r="H64" s="689"/>
    </row>
    <row r="65" spans="1:10" ht="15" customHeight="1" x14ac:dyDescent="0.25">
      <c r="A65" s="520"/>
      <c r="B65" s="579"/>
      <c r="C65" s="579"/>
      <c r="D65" s="501"/>
      <c r="E65" s="501"/>
      <c r="F65" s="136"/>
      <c r="G65" s="136"/>
      <c r="H65" s="136"/>
    </row>
    <row r="66" spans="1:10" ht="15" customHeight="1" x14ac:dyDescent="0.25">
      <c r="A66" s="520"/>
      <c r="B66" s="579"/>
      <c r="C66" s="579"/>
      <c r="D66" s="501"/>
      <c r="E66" s="501"/>
      <c r="F66" s="136"/>
      <c r="G66" s="136"/>
      <c r="H66" s="136"/>
    </row>
    <row r="67" spans="1:10" ht="15" customHeight="1" x14ac:dyDescent="0.25">
      <c r="A67" s="520"/>
      <c r="B67" s="579"/>
      <c r="C67" s="579"/>
      <c r="D67" s="501"/>
      <c r="E67" s="501"/>
      <c r="F67" s="136"/>
      <c r="G67" s="136"/>
      <c r="H67" s="136"/>
    </row>
    <row r="68" spans="1:10" ht="15" customHeight="1" x14ac:dyDescent="0.25">
      <c r="A68" s="520"/>
      <c r="B68" s="579"/>
      <c r="C68" s="579"/>
      <c r="D68" s="501"/>
      <c r="E68" s="501"/>
      <c r="F68" s="136"/>
      <c r="G68" s="136"/>
      <c r="H68" s="136"/>
    </row>
    <row r="69" spans="1:10" ht="15" customHeight="1" x14ac:dyDescent="0.25">
      <c r="A69" s="956" t="s">
        <v>163</v>
      </c>
      <c r="B69" s="956"/>
      <c r="C69" s="956"/>
      <c r="D69" s="956"/>
      <c r="E69" s="956"/>
      <c r="F69" s="956"/>
      <c r="G69" s="956"/>
      <c r="H69" s="956"/>
    </row>
    <row r="70" spans="1:10" ht="15" customHeight="1" x14ac:dyDescent="0.25">
      <c r="A70" s="956" t="s">
        <v>164</v>
      </c>
      <c r="B70" s="956"/>
      <c r="C70" s="956"/>
      <c r="D70" s="956"/>
      <c r="E70" s="956"/>
      <c r="F70" s="956"/>
      <c r="G70" s="956"/>
      <c r="H70" s="956"/>
    </row>
    <row r="71" spans="1:10" ht="15" customHeight="1" x14ac:dyDescent="0.25">
      <c r="A71" s="956" t="s">
        <v>165</v>
      </c>
      <c r="B71" s="956"/>
      <c r="C71" s="956"/>
      <c r="D71" s="956"/>
      <c r="E71" s="956"/>
      <c r="F71" s="956"/>
      <c r="G71" s="956"/>
      <c r="H71" s="956"/>
    </row>
    <row r="72" spans="1:10" ht="15" customHeight="1" x14ac:dyDescent="0.25">
      <c r="A72" s="1016"/>
      <c r="B72" s="695"/>
      <c r="C72" s="695"/>
      <c r="D72" s="695"/>
      <c r="E72" s="695"/>
      <c r="F72" s="695"/>
      <c r="G72" s="695"/>
      <c r="H72" s="1017"/>
    </row>
    <row r="73" spans="1:10" ht="18" customHeight="1" x14ac:dyDescent="0.25">
      <c r="A73" s="561" t="s">
        <v>600</v>
      </c>
      <c r="B73" s="562" t="str">
        <f>IF('Total WQv Calculation'!$B$3="","",'Total WQv Calculation'!$B$3)</f>
        <v/>
      </c>
      <c r="C73" s="31"/>
      <c r="D73" s="31"/>
      <c r="E73" s="31"/>
      <c r="F73" s="31"/>
      <c r="G73" s="31"/>
      <c r="H73" s="31"/>
      <c r="J73" s="316"/>
    </row>
    <row r="74" spans="1:10" ht="15" customHeight="1" x14ac:dyDescent="0.25">
      <c r="A74" s="730" t="s">
        <v>79</v>
      </c>
      <c r="B74" s="731"/>
      <c r="C74" s="731"/>
      <c r="D74" s="731"/>
      <c r="E74" s="731"/>
      <c r="F74" s="731"/>
      <c r="G74" s="731"/>
      <c r="H74" s="732"/>
      <c r="I74" s="143"/>
      <c r="J74" s="315"/>
    </row>
    <row r="75" spans="1:10" ht="46.7" customHeight="1" x14ac:dyDescent="0.25">
      <c r="A75" s="504" t="s">
        <v>493</v>
      </c>
      <c r="B75" s="505" t="s">
        <v>610</v>
      </c>
      <c r="C75" s="578" t="s">
        <v>611</v>
      </c>
      <c r="D75" s="505" t="s">
        <v>612</v>
      </c>
      <c r="E75" s="505" t="s">
        <v>7</v>
      </c>
      <c r="F75" s="505" t="s">
        <v>613</v>
      </c>
      <c r="G75" s="505" t="s">
        <v>614</v>
      </c>
      <c r="H75" s="506" t="s">
        <v>29</v>
      </c>
    </row>
    <row r="76" spans="1:10" ht="30.2" customHeight="1" x14ac:dyDescent="0.25">
      <c r="A76" s="509"/>
      <c r="B76" s="61" t="str">
        <f>IF($A76="","",(LOOKUP($A76,'Catchment Summary Table'!$A$4:$A$33,'Catchment Summary Table'!$B$4:$B$33)))</f>
        <v/>
      </c>
      <c r="C76" s="61" t="str">
        <f>IF($A76="","",(LOOKUP($A76,'Catchment Summary Table'!$A$4:$A$33,'Catchment Summary Table'!$C$4:$C$33)))</f>
        <v/>
      </c>
      <c r="D76" s="61" t="str">
        <f>IF($A76="","",(LOOKUP($A76,'Catchment Summary Table'!$A$4:$A$33,'Catchment Summary Table'!$D$4:$D$33)))</f>
        <v/>
      </c>
      <c r="E76" s="61" t="str">
        <f>IF($A76="","",(LOOKUP($A76,'Catchment Summary Table'!$A$4:$A$33,'Catchment Summary Table'!$E$4:$E$33)))</f>
        <v/>
      </c>
      <c r="F76" s="61" t="str">
        <f>IF($A76="","",(LOOKUP($A76,'Catchment Summary Table'!$A$4:$A$33,'Catchment Summary Table'!$F$4:$F$33)))</f>
        <v/>
      </c>
      <c r="G76" s="286">
        <f>'Total WQv Calculation'!$B$4</f>
        <v>0</v>
      </c>
      <c r="H76" s="510" t="str">
        <f>IF($A76="","",(LOOKUP($A76,'Catchment Summary Table'!$A$4:$A$33,'Catchment Summary Table'!$G$4:$G$33)))</f>
        <v/>
      </c>
    </row>
    <row r="77" spans="1:10" ht="30.2" customHeight="1" x14ac:dyDescent="0.25">
      <c r="A77" s="1024" t="s">
        <v>549</v>
      </c>
      <c r="B77" s="936"/>
      <c r="C77" s="297"/>
      <c r="D77" s="239" t="str">
        <f>IF(ISERROR((C76-C77)/B76),"",(C76-C77)/B76)</f>
        <v/>
      </c>
      <c r="E77" s="302" t="str">
        <f>IF(ISERROR(D77*100*0.009+0.05),"",(D77*100*0.009+0.05))</f>
        <v/>
      </c>
      <c r="F77" s="293" t="str">
        <f>IF(ISERROR(E77*B76*G76/12*43560 ),"",(E77*B76*G76/12*43560 ))</f>
        <v/>
      </c>
      <c r="G77" s="744" t="s">
        <v>550</v>
      </c>
      <c r="H77" s="916"/>
    </row>
    <row r="78" spans="1:10" ht="15" customHeight="1" x14ac:dyDescent="0.25">
      <c r="A78" s="730" t="s">
        <v>509</v>
      </c>
      <c r="B78" s="731"/>
      <c r="C78" s="731"/>
      <c r="D78" s="731"/>
      <c r="E78" s="731"/>
      <c r="F78" s="731"/>
      <c r="G78" s="731"/>
      <c r="H78" s="732"/>
    </row>
    <row r="79" spans="1:10" ht="15" customHeight="1" x14ac:dyDescent="0.25">
      <c r="A79" s="958" t="s">
        <v>216</v>
      </c>
      <c r="B79" s="710"/>
      <c r="C79" s="278"/>
      <c r="D79" s="727"/>
      <c r="E79" s="712"/>
      <c r="F79" s="712"/>
      <c r="G79" s="712"/>
      <c r="H79" s="713"/>
    </row>
    <row r="80" spans="1:10" ht="15" customHeight="1" x14ac:dyDescent="0.25">
      <c r="A80" s="954" t="s">
        <v>506</v>
      </c>
      <c r="B80" s="710"/>
      <c r="C80" s="352"/>
      <c r="D80" s="725" t="str">
        <f>IF(C80="","",IF(C80="No", "Okay","Design as a Bioretention practice"))</f>
        <v/>
      </c>
      <c r="E80" s="1025"/>
      <c r="F80" s="1025"/>
      <c r="G80" s="1025"/>
      <c r="H80" s="1026"/>
    </row>
    <row r="81" spans="1:9" ht="15" customHeight="1" x14ac:dyDescent="0.25">
      <c r="A81" s="954" t="s">
        <v>316</v>
      </c>
      <c r="B81" s="710"/>
      <c r="C81" s="300"/>
      <c r="D81" s="634" t="s">
        <v>317</v>
      </c>
      <c r="E81" s="725" t="str">
        <f>IF(C81="","",IF(C81&gt;=0.5,"Okay","Error, Infiltration rate is too low, practice is not appropriate"))</f>
        <v/>
      </c>
      <c r="F81" s="1025"/>
      <c r="G81" s="1025"/>
      <c r="H81" s="1026"/>
    </row>
    <row r="82" spans="1:9" ht="15" customHeight="1" x14ac:dyDescent="0.25">
      <c r="A82" s="730" t="s">
        <v>117</v>
      </c>
      <c r="B82" s="731"/>
      <c r="C82" s="731"/>
      <c r="D82" s="731"/>
      <c r="E82" s="731"/>
      <c r="F82" s="731"/>
      <c r="G82" s="731"/>
      <c r="H82" s="732"/>
    </row>
    <row r="83" spans="1:9" ht="15" customHeight="1" x14ac:dyDescent="0.25">
      <c r="A83" s="1027" t="s">
        <v>528</v>
      </c>
      <c r="B83" s="1028"/>
      <c r="C83" s="710"/>
      <c r="D83" s="180"/>
      <c r="E83" s="1033"/>
      <c r="F83" s="712"/>
      <c r="G83" s="712"/>
      <c r="H83" s="713"/>
    </row>
    <row r="84" spans="1:9" ht="15" customHeight="1" x14ac:dyDescent="0.25">
      <c r="A84" s="1027" t="s">
        <v>529</v>
      </c>
      <c r="B84" s="1028"/>
      <c r="C84" s="710"/>
      <c r="D84" s="281"/>
      <c r="E84" s="711"/>
      <c r="F84" s="712"/>
      <c r="G84" s="712"/>
      <c r="H84" s="713"/>
    </row>
    <row r="85" spans="1:9" ht="30.2" customHeight="1" x14ac:dyDescent="0.25">
      <c r="A85" s="652" t="s">
        <v>229</v>
      </c>
      <c r="B85" s="653"/>
      <c r="C85" s="510" t="s">
        <v>230</v>
      </c>
      <c r="D85" s="314">
        <f>D83*D84</f>
        <v>0</v>
      </c>
      <c r="E85" s="183" t="s">
        <v>232</v>
      </c>
      <c r="F85" s="1021"/>
      <c r="G85" s="1022"/>
      <c r="H85" s="1023"/>
    </row>
    <row r="86" spans="1:9" ht="15" customHeight="1" x14ac:dyDescent="0.25">
      <c r="A86" s="652" t="s">
        <v>575</v>
      </c>
      <c r="B86" s="653"/>
      <c r="C86" s="510" t="s">
        <v>156</v>
      </c>
      <c r="D86" s="279"/>
      <c r="E86" s="516" t="s">
        <v>12</v>
      </c>
      <c r="F86" s="656" t="s">
        <v>166</v>
      </c>
      <c r="G86" s="657"/>
      <c r="H86" s="658"/>
    </row>
    <row r="87" spans="1:9" ht="30.2" customHeight="1" x14ac:dyDescent="0.25">
      <c r="A87" s="954" t="s">
        <v>234</v>
      </c>
      <c r="B87" s="653"/>
      <c r="C87" s="510" t="s">
        <v>157</v>
      </c>
      <c r="D87" s="279"/>
      <c r="E87" s="516" t="s">
        <v>12</v>
      </c>
      <c r="F87" s="949" t="s">
        <v>233</v>
      </c>
      <c r="G87" s="950"/>
      <c r="H87" s="951"/>
    </row>
    <row r="88" spans="1:9" ht="30.2" customHeight="1" x14ac:dyDescent="0.25">
      <c r="A88" s="954" t="s">
        <v>240</v>
      </c>
      <c r="B88" s="653"/>
      <c r="C88" s="510" t="s">
        <v>158</v>
      </c>
      <c r="D88" s="279"/>
      <c r="E88" s="516" t="s">
        <v>12</v>
      </c>
      <c r="F88" s="949" t="s">
        <v>235</v>
      </c>
      <c r="G88" s="950"/>
      <c r="H88" s="951"/>
    </row>
    <row r="89" spans="1:9" ht="30.2" customHeight="1" x14ac:dyDescent="0.25">
      <c r="A89" s="954" t="s">
        <v>238</v>
      </c>
      <c r="B89" s="955"/>
      <c r="C89" s="510" t="s">
        <v>159</v>
      </c>
      <c r="D89" s="181"/>
      <c r="E89" s="516"/>
      <c r="F89" s="949" t="s">
        <v>582</v>
      </c>
      <c r="G89" s="950"/>
      <c r="H89" s="951"/>
    </row>
    <row r="90" spans="1:9" ht="30.2" customHeight="1" x14ac:dyDescent="0.25">
      <c r="A90" s="954" t="s">
        <v>239</v>
      </c>
      <c r="B90" s="955"/>
      <c r="C90" s="510" t="s">
        <v>160</v>
      </c>
      <c r="D90" s="181"/>
      <c r="E90" s="516"/>
      <c r="F90" s="949" t="s">
        <v>583</v>
      </c>
      <c r="G90" s="950"/>
      <c r="H90" s="951"/>
    </row>
    <row r="91" spans="1:9" ht="30.2" customHeight="1" x14ac:dyDescent="0.25">
      <c r="A91" s="652" t="s">
        <v>101</v>
      </c>
      <c r="B91" s="653"/>
      <c r="C91" s="510" t="s">
        <v>161</v>
      </c>
      <c r="D91" s="514">
        <f>+D85*D86*D89</f>
        <v>0</v>
      </c>
      <c r="E91" s="65" t="s">
        <v>207</v>
      </c>
      <c r="F91" s="949"/>
      <c r="G91" s="950"/>
      <c r="H91" s="951"/>
    </row>
    <row r="92" spans="1:9" ht="30.2" customHeight="1" x14ac:dyDescent="0.25">
      <c r="A92" s="954" t="s">
        <v>241</v>
      </c>
      <c r="B92" s="955"/>
      <c r="C92" s="510" t="s">
        <v>162</v>
      </c>
      <c r="D92" s="514">
        <f>+D85*D87*D90</f>
        <v>0</v>
      </c>
      <c r="E92" s="65" t="s">
        <v>207</v>
      </c>
      <c r="F92" s="949"/>
      <c r="G92" s="950"/>
      <c r="H92" s="951"/>
    </row>
    <row r="93" spans="1:9" ht="30.2" customHeight="1" x14ac:dyDescent="0.25">
      <c r="A93" s="954" t="s">
        <v>119</v>
      </c>
      <c r="B93" s="955"/>
      <c r="C93" s="510"/>
      <c r="D93" s="514">
        <f>+D88*D85</f>
        <v>0</v>
      </c>
      <c r="E93" s="65" t="s">
        <v>207</v>
      </c>
      <c r="F93" s="659"/>
      <c r="G93" s="660"/>
      <c r="H93" s="661"/>
    </row>
    <row r="94" spans="1:9" ht="15" customHeight="1" x14ac:dyDescent="0.25">
      <c r="A94" s="1031" t="s">
        <v>118</v>
      </c>
      <c r="B94" s="1032"/>
      <c r="C94" s="182"/>
      <c r="D94" s="280">
        <f>+D91+D92+D93</f>
        <v>0</v>
      </c>
      <c r="E94" s="65" t="s">
        <v>207</v>
      </c>
      <c r="F94" s="659"/>
      <c r="G94" s="660"/>
      <c r="H94" s="661"/>
    </row>
    <row r="95" spans="1:9" ht="15" customHeight="1" x14ac:dyDescent="0.25">
      <c r="A95" s="730" t="s">
        <v>88</v>
      </c>
      <c r="B95" s="731"/>
      <c r="C95" s="731"/>
      <c r="D95" s="731"/>
      <c r="E95" s="731"/>
      <c r="F95" s="731"/>
      <c r="G95" s="731"/>
      <c r="H95" s="732"/>
      <c r="I95" s="528"/>
    </row>
    <row r="96" spans="1:9" ht="15" customHeight="1" x14ac:dyDescent="0.25">
      <c r="A96" s="1018" t="s">
        <v>456</v>
      </c>
      <c r="B96" s="1019"/>
      <c r="C96" s="1020"/>
      <c r="D96" s="371">
        <f>IF(C79="A",1,0)+IF(C79="B",1,0)+IF(C79="C",0.4,0)+IF(C79="D",0.4,0)</f>
        <v>0</v>
      </c>
      <c r="E96" s="1034"/>
      <c r="F96" s="709"/>
      <c r="G96" s="709"/>
      <c r="H96" s="710"/>
    </row>
    <row r="97" spans="1:8" ht="15" customHeight="1" x14ac:dyDescent="0.25">
      <c r="A97" s="927" t="s">
        <v>32</v>
      </c>
      <c r="B97" s="883"/>
      <c r="C97" s="884"/>
      <c r="D97" s="282">
        <f>PRODUCT(F77,D96)</f>
        <v>0</v>
      </c>
      <c r="E97" s="67" t="s">
        <v>249</v>
      </c>
      <c r="F97" s="928"/>
      <c r="G97" s="709"/>
      <c r="H97" s="710"/>
    </row>
    <row r="98" spans="1:8" x14ac:dyDescent="0.25">
      <c r="A98" s="677" t="s">
        <v>511</v>
      </c>
      <c r="B98" s="1029"/>
      <c r="C98" s="1030"/>
      <c r="D98" s="510" t="str">
        <f>IF(F77&lt;=D94,"OK","ERROR")</f>
        <v>ERROR</v>
      </c>
      <c r="E98" s="752"/>
      <c r="F98" s="689"/>
      <c r="G98" s="689"/>
      <c r="H98" s="689"/>
    </row>
    <row r="99" spans="1:8" x14ac:dyDescent="0.25">
      <c r="A99" s="520"/>
      <c r="B99" s="579"/>
      <c r="C99" s="579"/>
      <c r="D99" s="501"/>
      <c r="E99" s="501"/>
      <c r="F99" s="136"/>
      <c r="G99" s="136"/>
      <c r="H99" s="136"/>
    </row>
    <row r="100" spans="1:8" x14ac:dyDescent="0.25">
      <c r="A100" s="520"/>
      <c r="B100" s="579"/>
      <c r="C100" s="579"/>
      <c r="D100" s="501"/>
      <c r="E100" s="501"/>
      <c r="F100" s="136"/>
      <c r="G100" s="136"/>
      <c r="H100" s="136"/>
    </row>
    <row r="101" spans="1:8" x14ac:dyDescent="0.25">
      <c r="A101" s="520"/>
      <c r="B101" s="579"/>
      <c r="C101" s="579"/>
      <c r="D101" s="501"/>
      <c r="E101" s="501"/>
      <c r="F101" s="136"/>
      <c r="G101" s="136"/>
      <c r="H101" s="136"/>
    </row>
    <row r="102" spans="1:8" x14ac:dyDescent="0.25">
      <c r="A102" s="520"/>
      <c r="B102" s="579"/>
      <c r="C102" s="579"/>
      <c r="D102" s="501"/>
      <c r="E102" s="501"/>
      <c r="F102" s="136"/>
      <c r="G102" s="136"/>
      <c r="H102" s="136"/>
    </row>
    <row r="103" spans="1:8" x14ac:dyDescent="0.25">
      <c r="A103" s="956" t="s">
        <v>163</v>
      </c>
      <c r="B103" s="956"/>
      <c r="C103" s="956"/>
      <c r="D103" s="956"/>
      <c r="E103" s="956"/>
      <c r="F103" s="956"/>
      <c r="G103" s="956"/>
      <c r="H103" s="956"/>
    </row>
    <row r="104" spans="1:8" ht="15" customHeight="1" x14ac:dyDescent="0.25">
      <c r="A104" s="956" t="s">
        <v>164</v>
      </c>
      <c r="B104" s="956"/>
      <c r="C104" s="956"/>
      <c r="D104" s="956"/>
      <c r="E104" s="956"/>
      <c r="F104" s="956"/>
      <c r="G104" s="956"/>
      <c r="H104" s="956"/>
    </row>
    <row r="105" spans="1:8" ht="15" customHeight="1" x14ac:dyDescent="0.25">
      <c r="A105" s="956" t="s">
        <v>165</v>
      </c>
      <c r="B105" s="956"/>
      <c r="C105" s="956"/>
      <c r="D105" s="956"/>
      <c r="E105" s="956"/>
      <c r="F105" s="956"/>
      <c r="G105" s="956"/>
      <c r="H105" s="956"/>
    </row>
    <row r="106" spans="1:8" ht="15" customHeight="1" x14ac:dyDescent="0.25">
      <c r="A106" s="1035"/>
      <c r="B106" s="1036"/>
      <c r="C106" s="695"/>
      <c r="D106" s="695"/>
      <c r="E106" s="695"/>
      <c r="F106" s="695"/>
      <c r="G106" s="695"/>
      <c r="H106" s="1017"/>
    </row>
    <row r="107" spans="1:8" ht="18" customHeight="1" x14ac:dyDescent="0.25">
      <c r="A107" s="561" t="s">
        <v>600</v>
      </c>
      <c r="B107" s="562" t="str">
        <f>IF('Total WQv Calculation'!$B$3="","",'Total WQv Calculation'!$B$3)</f>
        <v/>
      </c>
      <c r="C107" s="635"/>
      <c r="D107" s="31"/>
      <c r="E107" s="31"/>
      <c r="F107" s="31"/>
      <c r="G107" s="31"/>
      <c r="H107" s="31"/>
    </row>
    <row r="108" spans="1:8" ht="30.2" customHeight="1" x14ac:dyDescent="0.25">
      <c r="A108" s="730" t="s">
        <v>79</v>
      </c>
      <c r="B108" s="731"/>
      <c r="C108" s="731"/>
      <c r="D108" s="731"/>
      <c r="E108" s="731"/>
      <c r="F108" s="731"/>
      <c r="G108" s="731"/>
      <c r="H108" s="732"/>
    </row>
    <row r="109" spans="1:8" ht="46.7" customHeight="1" x14ac:dyDescent="0.25">
      <c r="A109" s="504" t="s">
        <v>493</v>
      </c>
      <c r="B109" s="505" t="s">
        <v>610</v>
      </c>
      <c r="C109" s="578" t="s">
        <v>611</v>
      </c>
      <c r="D109" s="505" t="s">
        <v>612</v>
      </c>
      <c r="E109" s="505" t="s">
        <v>7</v>
      </c>
      <c r="F109" s="505" t="s">
        <v>613</v>
      </c>
      <c r="G109" s="505" t="s">
        <v>614</v>
      </c>
      <c r="H109" s="506" t="s">
        <v>29</v>
      </c>
    </row>
    <row r="110" spans="1:8" ht="30.2" customHeight="1" x14ac:dyDescent="0.25">
      <c r="A110" s="509"/>
      <c r="B110" s="61" t="str">
        <f>IF($A110="","",(LOOKUP($A110,'Catchment Summary Table'!$A$4:$A$33,'Catchment Summary Table'!$B$4:$B$33)))</f>
        <v/>
      </c>
      <c r="C110" s="61" t="str">
        <f>IF($A110="","",(LOOKUP($A110,'Catchment Summary Table'!$A$4:$A$33,'Catchment Summary Table'!$C$4:$C$33)))</f>
        <v/>
      </c>
      <c r="D110" s="61" t="str">
        <f>IF($A110="","",(LOOKUP($A110,'Catchment Summary Table'!$A$4:$A$33,'Catchment Summary Table'!$D$4:$D$33)))</f>
        <v/>
      </c>
      <c r="E110" s="61" t="str">
        <f>IF($A110="","",(LOOKUP($A110,'Catchment Summary Table'!$A$4:$A$33,'Catchment Summary Table'!$E$4:$E$33)))</f>
        <v/>
      </c>
      <c r="F110" s="61" t="str">
        <f>IF($A110="","",(LOOKUP($A110,'Catchment Summary Table'!$A$4:$A$33,'Catchment Summary Table'!$F$4:$F$33)))</f>
        <v/>
      </c>
      <c r="G110" s="286">
        <f>'Total WQv Calculation'!$B$4</f>
        <v>0</v>
      </c>
      <c r="H110" s="510" t="str">
        <f>IF($A110="","",(LOOKUP($A110,'Catchment Summary Table'!$A$4:$A$33,'Catchment Summary Table'!$G$4:$G$33)))</f>
        <v/>
      </c>
    </row>
    <row r="111" spans="1:8" ht="30.2" customHeight="1" x14ac:dyDescent="0.25">
      <c r="A111" s="1024" t="s">
        <v>549</v>
      </c>
      <c r="B111" s="936"/>
      <c r="C111" s="297"/>
      <c r="D111" s="239" t="str">
        <f>IF(ISERROR((C110-C111)/B110),"",(C110-C111)/B110)</f>
        <v/>
      </c>
      <c r="E111" s="302" t="str">
        <f>IF(ISERROR(D111*100*0.009+0.05),"",(D111*100*0.009+0.05))</f>
        <v/>
      </c>
      <c r="F111" s="293" t="str">
        <f>IF(ISERROR(E111*B110*G110/12*43560 ),"",(E111*B110*G110/12*43560 ))</f>
        <v/>
      </c>
      <c r="G111" s="744" t="s">
        <v>550</v>
      </c>
      <c r="H111" s="916"/>
    </row>
    <row r="112" spans="1:8" ht="15" customHeight="1" x14ac:dyDescent="0.25">
      <c r="A112" s="730" t="s">
        <v>509</v>
      </c>
      <c r="B112" s="731"/>
      <c r="C112" s="731"/>
      <c r="D112" s="731"/>
      <c r="E112" s="731"/>
      <c r="F112" s="731"/>
      <c r="G112" s="731"/>
      <c r="H112" s="732"/>
    </row>
    <row r="113" spans="1:8" ht="15" customHeight="1" x14ac:dyDescent="0.25">
      <c r="A113" s="958" t="s">
        <v>216</v>
      </c>
      <c r="B113" s="710"/>
      <c r="C113" s="278"/>
      <c r="D113" s="727"/>
      <c r="E113" s="712"/>
      <c r="F113" s="712"/>
      <c r="G113" s="712"/>
      <c r="H113" s="713"/>
    </row>
    <row r="114" spans="1:8" ht="15" customHeight="1" x14ac:dyDescent="0.25">
      <c r="A114" s="954" t="s">
        <v>506</v>
      </c>
      <c r="B114" s="710"/>
      <c r="C114" s="352"/>
      <c r="D114" s="725" t="str">
        <f>IF(C114="","",IF(C114="No", "Okay","Design as a Bioretention practice"))</f>
        <v/>
      </c>
      <c r="E114" s="1025"/>
      <c r="F114" s="1025"/>
      <c r="G114" s="1025"/>
      <c r="H114" s="1026"/>
    </row>
    <row r="115" spans="1:8" ht="15" customHeight="1" x14ac:dyDescent="0.25">
      <c r="A115" s="954" t="s">
        <v>316</v>
      </c>
      <c r="B115" s="710"/>
      <c r="C115" s="300"/>
      <c r="D115" s="634" t="s">
        <v>317</v>
      </c>
      <c r="E115" s="725" t="str">
        <f>IF(B115="","",IF(B115&gt;=0.5,"Okay","Error, Infiltration rate is too low, practice is not appropriate"))</f>
        <v/>
      </c>
      <c r="F115" s="1025"/>
      <c r="G115" s="1025"/>
      <c r="H115" s="1026"/>
    </row>
    <row r="116" spans="1:8" ht="15" customHeight="1" x14ac:dyDescent="0.25">
      <c r="A116" s="730" t="s">
        <v>117</v>
      </c>
      <c r="B116" s="731"/>
      <c r="C116" s="731"/>
      <c r="D116" s="731"/>
      <c r="E116" s="731"/>
      <c r="F116" s="731"/>
      <c r="G116" s="731"/>
      <c r="H116" s="732"/>
    </row>
    <row r="117" spans="1:8" ht="15" customHeight="1" x14ac:dyDescent="0.25">
      <c r="A117" s="1027" t="s">
        <v>528</v>
      </c>
      <c r="B117" s="1028"/>
      <c r="C117" s="710"/>
      <c r="D117" s="180"/>
      <c r="E117" s="1033"/>
      <c r="F117" s="712"/>
      <c r="G117" s="712"/>
      <c r="H117" s="713"/>
    </row>
    <row r="118" spans="1:8" ht="15" customHeight="1" x14ac:dyDescent="0.25">
      <c r="A118" s="1027" t="s">
        <v>529</v>
      </c>
      <c r="B118" s="1028"/>
      <c r="C118" s="710"/>
      <c r="D118" s="281"/>
      <c r="E118" s="711"/>
      <c r="F118" s="712"/>
      <c r="G118" s="712"/>
      <c r="H118" s="713"/>
    </row>
    <row r="119" spans="1:8" ht="30.2" customHeight="1" x14ac:dyDescent="0.25">
      <c r="A119" s="652" t="s">
        <v>229</v>
      </c>
      <c r="B119" s="653"/>
      <c r="C119" s="510" t="s">
        <v>230</v>
      </c>
      <c r="D119" s="314">
        <f>D117*D118</f>
        <v>0</v>
      </c>
      <c r="E119" s="183" t="s">
        <v>232</v>
      </c>
      <c r="F119" s="1021"/>
      <c r="G119" s="1022"/>
      <c r="H119" s="1023"/>
    </row>
    <row r="120" spans="1:8" ht="15" customHeight="1" x14ac:dyDescent="0.25">
      <c r="A120" s="652" t="s">
        <v>575</v>
      </c>
      <c r="B120" s="653"/>
      <c r="C120" s="510" t="s">
        <v>156</v>
      </c>
      <c r="D120" s="279"/>
      <c r="E120" s="516" t="s">
        <v>12</v>
      </c>
      <c r="F120" s="656" t="s">
        <v>166</v>
      </c>
      <c r="G120" s="657"/>
      <c r="H120" s="658"/>
    </row>
    <row r="121" spans="1:8" ht="30.2" customHeight="1" x14ac:dyDescent="0.25">
      <c r="A121" s="954" t="s">
        <v>234</v>
      </c>
      <c r="B121" s="653"/>
      <c r="C121" s="510" t="s">
        <v>157</v>
      </c>
      <c r="D121" s="279"/>
      <c r="E121" s="516" t="s">
        <v>12</v>
      </c>
      <c r="F121" s="949" t="s">
        <v>233</v>
      </c>
      <c r="G121" s="950"/>
      <c r="H121" s="951"/>
    </row>
    <row r="122" spans="1:8" ht="30.2" customHeight="1" x14ac:dyDescent="0.25">
      <c r="A122" s="954" t="s">
        <v>240</v>
      </c>
      <c r="B122" s="653"/>
      <c r="C122" s="510" t="s">
        <v>158</v>
      </c>
      <c r="D122" s="279"/>
      <c r="E122" s="516" t="s">
        <v>12</v>
      </c>
      <c r="F122" s="949" t="s">
        <v>235</v>
      </c>
      <c r="G122" s="950"/>
      <c r="H122" s="951"/>
    </row>
    <row r="123" spans="1:8" ht="30.2" customHeight="1" x14ac:dyDescent="0.25">
      <c r="A123" s="954" t="s">
        <v>238</v>
      </c>
      <c r="B123" s="955"/>
      <c r="C123" s="510" t="s">
        <v>159</v>
      </c>
      <c r="D123" s="181"/>
      <c r="E123" s="516"/>
      <c r="F123" s="949" t="s">
        <v>582</v>
      </c>
      <c r="G123" s="950"/>
      <c r="H123" s="951"/>
    </row>
    <row r="124" spans="1:8" ht="30.2" customHeight="1" x14ac:dyDescent="0.25">
      <c r="A124" s="954" t="s">
        <v>239</v>
      </c>
      <c r="B124" s="955"/>
      <c r="C124" s="510" t="s">
        <v>160</v>
      </c>
      <c r="D124" s="181"/>
      <c r="E124" s="516"/>
      <c r="F124" s="949" t="s">
        <v>583</v>
      </c>
      <c r="G124" s="950"/>
      <c r="H124" s="951"/>
    </row>
    <row r="125" spans="1:8" ht="30.2" customHeight="1" x14ac:dyDescent="0.25">
      <c r="A125" s="652" t="s">
        <v>101</v>
      </c>
      <c r="B125" s="653"/>
      <c r="C125" s="510" t="s">
        <v>161</v>
      </c>
      <c r="D125" s="514">
        <f>+D119*D120*D123</f>
        <v>0</v>
      </c>
      <c r="E125" s="65" t="s">
        <v>207</v>
      </c>
      <c r="F125" s="949"/>
      <c r="G125" s="950"/>
      <c r="H125" s="951"/>
    </row>
    <row r="126" spans="1:8" ht="30.2" customHeight="1" x14ac:dyDescent="0.25">
      <c r="A126" s="954" t="s">
        <v>241</v>
      </c>
      <c r="B126" s="955"/>
      <c r="C126" s="510" t="s">
        <v>162</v>
      </c>
      <c r="D126" s="514">
        <f>+D119*D121*D124</f>
        <v>0</v>
      </c>
      <c r="E126" s="65" t="s">
        <v>207</v>
      </c>
      <c r="F126" s="949"/>
      <c r="G126" s="950"/>
      <c r="H126" s="951"/>
    </row>
    <row r="127" spans="1:8" ht="30.2" customHeight="1" x14ac:dyDescent="0.25">
      <c r="A127" s="954" t="s">
        <v>119</v>
      </c>
      <c r="B127" s="955"/>
      <c r="C127" s="510"/>
      <c r="D127" s="514">
        <f>+D122*D119</f>
        <v>0</v>
      </c>
      <c r="E127" s="65" t="s">
        <v>207</v>
      </c>
      <c r="F127" s="659"/>
      <c r="G127" s="660"/>
      <c r="H127" s="661"/>
    </row>
    <row r="128" spans="1:8" ht="15" customHeight="1" x14ac:dyDescent="0.25">
      <c r="A128" s="1031" t="s">
        <v>118</v>
      </c>
      <c r="B128" s="1032"/>
      <c r="C128" s="182"/>
      <c r="D128" s="280">
        <f>+D125+D126+D127</f>
        <v>0</v>
      </c>
      <c r="E128" s="65" t="s">
        <v>207</v>
      </c>
      <c r="F128" s="659"/>
      <c r="G128" s="660"/>
      <c r="H128" s="661"/>
    </row>
    <row r="129" spans="1:8" ht="15" customHeight="1" x14ac:dyDescent="0.25">
      <c r="A129" s="730" t="s">
        <v>88</v>
      </c>
      <c r="B129" s="731"/>
      <c r="C129" s="731"/>
      <c r="D129" s="731"/>
      <c r="E129" s="731"/>
      <c r="F129" s="731"/>
      <c r="G129" s="731"/>
      <c r="H129" s="732"/>
    </row>
    <row r="130" spans="1:8" ht="15" customHeight="1" x14ac:dyDescent="0.25">
      <c r="A130" s="1018" t="s">
        <v>456</v>
      </c>
      <c r="B130" s="1019"/>
      <c r="C130" s="1020"/>
      <c r="D130" s="371">
        <f>IF(C113="A",1,0)+IF(C113="B",1,0)+IF(C113="C",0.4,0)+IF(C113="D",0.4,0)</f>
        <v>0</v>
      </c>
      <c r="E130" s="1034"/>
      <c r="F130" s="709"/>
      <c r="G130" s="709"/>
      <c r="H130" s="710"/>
    </row>
    <row r="131" spans="1:8" ht="15" customHeight="1" x14ac:dyDescent="0.25">
      <c r="A131" s="927" t="s">
        <v>32</v>
      </c>
      <c r="B131" s="883"/>
      <c r="C131" s="884"/>
      <c r="D131" s="282">
        <f>PRODUCT(F111,D130)</f>
        <v>0</v>
      </c>
      <c r="E131" s="67" t="s">
        <v>249</v>
      </c>
      <c r="F131" s="928"/>
      <c r="G131" s="709"/>
      <c r="H131" s="710"/>
    </row>
    <row r="132" spans="1:8" ht="15" customHeight="1" x14ac:dyDescent="0.25">
      <c r="A132" s="677" t="s">
        <v>511</v>
      </c>
      <c r="B132" s="1029"/>
      <c r="C132" s="1030"/>
      <c r="D132" s="510" t="str">
        <f>IF(F111&lt;=D128,"OK","ERROR")</f>
        <v>ERROR</v>
      </c>
      <c r="E132" s="752"/>
      <c r="F132" s="689"/>
      <c r="G132" s="689"/>
      <c r="H132" s="689"/>
    </row>
  </sheetData>
  <sheetProtection password="C7D7" sheet="1" objects="1" scenarios="1" formatColumns="0" formatRows="0"/>
  <mergeCells count="184">
    <mergeCell ref="F120:H120"/>
    <mergeCell ref="A95:H95"/>
    <mergeCell ref="A96:C96"/>
    <mergeCell ref="E96:H96"/>
    <mergeCell ref="A93:B93"/>
    <mergeCell ref="F93:H93"/>
    <mergeCell ref="A94:B94"/>
    <mergeCell ref="F94:H94"/>
    <mergeCell ref="A90:B90"/>
    <mergeCell ref="F90:H90"/>
    <mergeCell ref="A91:B91"/>
    <mergeCell ref="F91:H91"/>
    <mergeCell ref="A92:B92"/>
    <mergeCell ref="F92:H92"/>
    <mergeCell ref="A108:H108"/>
    <mergeCell ref="E98:H98"/>
    <mergeCell ref="A103:H103"/>
    <mergeCell ref="A104:H104"/>
    <mergeCell ref="A105:H105"/>
    <mergeCell ref="A106:H106"/>
    <mergeCell ref="A88:B88"/>
    <mergeCell ref="F88:H88"/>
    <mergeCell ref="A89:B89"/>
    <mergeCell ref="F89:H89"/>
    <mergeCell ref="A86:B86"/>
    <mergeCell ref="E118:H118"/>
    <mergeCell ref="A49:C49"/>
    <mergeCell ref="E49:H49"/>
    <mergeCell ref="F51:H51"/>
    <mergeCell ref="A61:H61"/>
    <mergeCell ref="A62:C62"/>
    <mergeCell ref="E62:H62"/>
    <mergeCell ref="F63:H63"/>
    <mergeCell ref="F53:H53"/>
    <mergeCell ref="A54:B54"/>
    <mergeCell ref="F54:H54"/>
    <mergeCell ref="A55:B55"/>
    <mergeCell ref="F55:H55"/>
    <mergeCell ref="F97:H97"/>
    <mergeCell ref="A97:C97"/>
    <mergeCell ref="A98:C98"/>
    <mergeCell ref="A87:B87"/>
    <mergeCell ref="A77:B77"/>
    <mergeCell ref="G77:H77"/>
    <mergeCell ref="E13:H13"/>
    <mergeCell ref="A11:B11"/>
    <mergeCell ref="A12:B12"/>
    <mergeCell ref="A13:B13"/>
    <mergeCell ref="A15:C15"/>
    <mergeCell ref="A16:C16"/>
    <mergeCell ref="E15:H15"/>
    <mergeCell ref="E16:H16"/>
    <mergeCell ref="E30:H30"/>
    <mergeCell ref="F29:H29"/>
    <mergeCell ref="D11:H11"/>
    <mergeCell ref="E28:H28"/>
    <mergeCell ref="A26:B26"/>
    <mergeCell ref="A21:B21"/>
    <mergeCell ref="A22:B22"/>
    <mergeCell ref="A23:B23"/>
    <mergeCell ref="A24:B24"/>
    <mergeCell ref="A25:B25"/>
    <mergeCell ref="A18:B18"/>
    <mergeCell ref="A19:B19"/>
    <mergeCell ref="F131:H131"/>
    <mergeCell ref="A131:C131"/>
    <mergeCell ref="A132:C132"/>
    <mergeCell ref="E132:H132"/>
    <mergeCell ref="A128:B128"/>
    <mergeCell ref="F128:H128"/>
    <mergeCell ref="A125:B125"/>
    <mergeCell ref="F125:H125"/>
    <mergeCell ref="A126:B126"/>
    <mergeCell ref="F126:H126"/>
    <mergeCell ref="A127:B127"/>
    <mergeCell ref="F127:H127"/>
    <mergeCell ref="A129:H129"/>
    <mergeCell ref="A130:C130"/>
    <mergeCell ref="E130:H130"/>
    <mergeCell ref="A124:B124"/>
    <mergeCell ref="F124:H124"/>
    <mergeCell ref="A116:H116"/>
    <mergeCell ref="A122:B122"/>
    <mergeCell ref="A123:B123"/>
    <mergeCell ref="A111:B111"/>
    <mergeCell ref="G111:H111"/>
    <mergeCell ref="A112:H112"/>
    <mergeCell ref="A113:B113"/>
    <mergeCell ref="D113:H113"/>
    <mergeCell ref="A114:B114"/>
    <mergeCell ref="D114:H114"/>
    <mergeCell ref="A115:B115"/>
    <mergeCell ref="E115:H115"/>
    <mergeCell ref="A117:C117"/>
    <mergeCell ref="E117:H117"/>
    <mergeCell ref="A118:C118"/>
    <mergeCell ref="A121:B121"/>
    <mergeCell ref="F121:H121"/>
    <mergeCell ref="F122:H122"/>
    <mergeCell ref="F123:H123"/>
    <mergeCell ref="A119:B119"/>
    <mergeCell ref="F119:H119"/>
    <mergeCell ref="A120:B120"/>
    <mergeCell ref="A78:H78"/>
    <mergeCell ref="A79:B79"/>
    <mergeCell ref="D79:H79"/>
    <mergeCell ref="A80:B80"/>
    <mergeCell ref="D80:H80"/>
    <mergeCell ref="A81:B81"/>
    <mergeCell ref="E81:H81"/>
    <mergeCell ref="A82:H82"/>
    <mergeCell ref="A83:C83"/>
    <mergeCell ref="E83:H83"/>
    <mergeCell ref="A84:C84"/>
    <mergeCell ref="E84:H84"/>
    <mergeCell ref="A85:B85"/>
    <mergeCell ref="F85:H85"/>
    <mergeCell ref="F86:H86"/>
    <mergeCell ref="F87:H87"/>
    <mergeCell ref="F52:H52"/>
    <mergeCell ref="A35:H35"/>
    <mergeCell ref="A43:B43"/>
    <mergeCell ref="G43:H43"/>
    <mergeCell ref="A45:B45"/>
    <mergeCell ref="D45:H45"/>
    <mergeCell ref="E47:H47"/>
    <mergeCell ref="A48:H48"/>
    <mergeCell ref="A74:H74"/>
    <mergeCell ref="A64:C64"/>
    <mergeCell ref="A69:H69"/>
    <mergeCell ref="A70:H70"/>
    <mergeCell ref="A59:B59"/>
    <mergeCell ref="F59:H59"/>
    <mergeCell ref="A60:B60"/>
    <mergeCell ref="F60:H60"/>
    <mergeCell ref="E64:H64"/>
    <mergeCell ref="A63:C63"/>
    <mergeCell ref="A51:B51"/>
    <mergeCell ref="A52:B52"/>
    <mergeCell ref="A71:H71"/>
    <mergeCell ref="A72:H72"/>
    <mergeCell ref="A56:B56"/>
    <mergeCell ref="F56:H56"/>
    <mergeCell ref="A57:B57"/>
    <mergeCell ref="F57:H57"/>
    <mergeCell ref="A58:B58"/>
    <mergeCell ref="F58:H58"/>
    <mergeCell ref="A53:B53"/>
    <mergeCell ref="A50:C50"/>
    <mergeCell ref="E50:H50"/>
    <mergeCell ref="A36:H36"/>
    <mergeCell ref="A37:H37"/>
    <mergeCell ref="A38:H38"/>
    <mergeCell ref="A40:H40"/>
    <mergeCell ref="A20:B20"/>
    <mergeCell ref="A46:B46"/>
    <mergeCell ref="D46:H46"/>
    <mergeCell ref="A47:B47"/>
    <mergeCell ref="A44:H44"/>
    <mergeCell ref="A30:C30"/>
    <mergeCell ref="A1:H1"/>
    <mergeCell ref="A2:H2"/>
    <mergeCell ref="A3:H3"/>
    <mergeCell ref="A4:H4"/>
    <mergeCell ref="A6:H6"/>
    <mergeCell ref="A10:H10"/>
    <mergeCell ref="A28:C28"/>
    <mergeCell ref="A29:C29"/>
    <mergeCell ref="A14:H14"/>
    <mergeCell ref="F17:H17"/>
    <mergeCell ref="F18:H18"/>
    <mergeCell ref="F19:H19"/>
    <mergeCell ref="F20:H20"/>
    <mergeCell ref="F21:H21"/>
    <mergeCell ref="F22:H22"/>
    <mergeCell ref="F23:H23"/>
    <mergeCell ref="F24:H24"/>
    <mergeCell ref="F25:H25"/>
    <mergeCell ref="F26:H26"/>
    <mergeCell ref="A27:H27"/>
    <mergeCell ref="A17:B17"/>
    <mergeCell ref="A9:B9"/>
    <mergeCell ref="G9:H9"/>
    <mergeCell ref="D12:H12"/>
  </mergeCells>
  <dataValidations count="3">
    <dataValidation type="list" allowBlank="1" showInputMessage="1" showErrorMessage="1" sqref="C113 C79 C45 C11">
      <formula1>Soil</formula1>
    </dataValidation>
    <dataValidation type="list" allowBlank="1" showInputMessage="1" showErrorMessage="1" sqref="C114 C80 C46 C12">
      <formula1>Underdrains</formula1>
    </dataValidation>
    <dataValidation type="list" showInputMessage="1" showErrorMessage="1" promptTitle="Choose Area" sqref="A110 A76 A42 A8">
      <formula1>CatchNo</formula1>
    </dataValidation>
  </dataValidations>
  <pageMargins left="0.7" right="0.7" top="0.75" bottom="0.75" header="0.3" footer="0.3"/>
  <pageSetup orientation="portrait" r:id="rId1"/>
  <headerFooter>
    <oddHeader>&amp;C&amp;18Rain Garden Worksheet</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103"/>
  <sheetViews>
    <sheetView view="pageLayout" zoomScaleNormal="100" workbookViewId="0">
      <selection activeCell="A4" sqref="A4"/>
    </sheetView>
  </sheetViews>
  <sheetFormatPr defaultColWidth="9.140625" defaultRowHeight="15" x14ac:dyDescent="0.25"/>
  <cols>
    <col min="1" max="1" width="12.7109375" style="475" customWidth="1"/>
    <col min="2" max="3" width="11.42578125" style="475" customWidth="1"/>
    <col min="4" max="4" width="10.7109375" style="475" customWidth="1"/>
    <col min="5" max="6" width="7.5703125" style="475" customWidth="1"/>
    <col min="7" max="7" width="12.140625" style="475" customWidth="1"/>
    <col min="8" max="8" width="16.42578125" style="475" customWidth="1"/>
    <col min="9" max="9" width="30.28515625" style="475" bestFit="1" customWidth="1"/>
    <col min="10" max="16384" width="9.140625" style="475"/>
  </cols>
  <sheetData>
    <row r="1" spans="1:10" ht="18" customHeight="1" x14ac:dyDescent="0.25">
      <c r="A1" s="561" t="s">
        <v>600</v>
      </c>
      <c r="B1" s="562" t="str">
        <f>IF('Total WQv Calculation'!$B$3="","",'Total WQv Calculation'!$B$3)</f>
        <v/>
      </c>
      <c r="I1" s="475" t="s">
        <v>519</v>
      </c>
      <c r="J1" s="315">
        <f>SUM(D23,D50,D75,D100)</f>
        <v>0</v>
      </c>
    </row>
    <row r="2" spans="1:10" ht="15" customHeight="1" x14ac:dyDescent="0.25">
      <c r="A2" s="730" t="s">
        <v>79</v>
      </c>
      <c r="B2" s="731"/>
      <c r="C2" s="731"/>
      <c r="D2" s="731"/>
      <c r="E2" s="731"/>
      <c r="F2" s="731"/>
      <c r="G2" s="731"/>
      <c r="H2" s="732"/>
      <c r="I2" s="475" t="s">
        <v>520</v>
      </c>
      <c r="J2" s="315">
        <f>SUM(D24,D51,D76,D101)</f>
        <v>0</v>
      </c>
    </row>
    <row r="3" spans="1:10" ht="46.7" customHeight="1" x14ac:dyDescent="0.25">
      <c r="A3" s="496" t="s">
        <v>493</v>
      </c>
      <c r="B3" s="500" t="s">
        <v>610</v>
      </c>
      <c r="C3" s="580" t="s">
        <v>611</v>
      </c>
      <c r="D3" s="500" t="s">
        <v>612</v>
      </c>
      <c r="E3" s="500" t="s">
        <v>7</v>
      </c>
      <c r="F3" s="500" t="s">
        <v>613</v>
      </c>
      <c r="G3" s="500" t="s">
        <v>614</v>
      </c>
      <c r="H3" s="497" t="s">
        <v>29</v>
      </c>
      <c r="I3" s="475" t="s">
        <v>521</v>
      </c>
      <c r="J3" s="315">
        <f>SUM(C4,C31,C56,C81)</f>
        <v>0</v>
      </c>
    </row>
    <row r="4" spans="1:10" s="206" customFormat="1" ht="30.2" customHeight="1" x14ac:dyDescent="0.25">
      <c r="A4" s="509"/>
      <c r="B4" s="61" t="str">
        <f>IF($A4="","",(LOOKUP($A4,'Catchment Summary Table'!$A$4:$A$33,'Catchment Summary Table'!$B$4:$B$33)))</f>
        <v/>
      </c>
      <c r="C4" s="61" t="str">
        <f>IF($A4="","",(LOOKUP($A4,'Catchment Summary Table'!$A$4:$A$33,'Catchment Summary Table'!$C$4:$C$33)))</f>
        <v/>
      </c>
      <c r="D4" s="61" t="str">
        <f>IF($A4="","",(LOOKUP($A4,'Catchment Summary Table'!$A$4:$A$33,'Catchment Summary Table'!$D$4:$D$33)))</f>
        <v/>
      </c>
      <c r="E4" s="61" t="str">
        <f>IF($A4="","",(LOOKUP($A4,'Catchment Summary Table'!$A$4:$A$33,'Catchment Summary Table'!$E$4:$E$33)))</f>
        <v/>
      </c>
      <c r="F4" s="61" t="str">
        <f>IF($A4="","",(LOOKUP($A4,'Catchment Summary Table'!$A$4:$A$33,'Catchment Summary Table'!$F$4:$F$33)))</f>
        <v/>
      </c>
      <c r="G4" s="286" t="str">
        <f>IF(B4="","",IFERROR('Total WQv Calculation'!$B$4,""))</f>
        <v/>
      </c>
      <c r="H4" s="510" t="str">
        <f>IF($A4="","",(LOOKUP($A4,'Catchment Summary Table'!$A$4:$A$33,'Catchment Summary Table'!$G$4:$G$33)))</f>
        <v/>
      </c>
    </row>
    <row r="5" spans="1:10" x14ac:dyDescent="0.25">
      <c r="A5" s="1037" t="s">
        <v>63</v>
      </c>
      <c r="B5" s="1037"/>
      <c r="C5" s="1037"/>
      <c r="D5" s="1037"/>
      <c r="E5" s="1037"/>
      <c r="F5" s="1037"/>
      <c r="G5" s="1037"/>
      <c r="H5" s="1037"/>
    </row>
    <row r="6" spans="1:10" ht="30.2" customHeight="1" x14ac:dyDescent="0.25">
      <c r="A6" s="844" t="s">
        <v>368</v>
      </c>
      <c r="B6" s="844"/>
      <c r="C6" s="844"/>
      <c r="D6" s="95"/>
      <c r="E6" s="462"/>
      <c r="F6" s="723" t="str">
        <f>IF(D6="Yes", "this practice is not applicable"," ")</f>
        <v xml:space="preserve"> </v>
      </c>
      <c r="G6" s="723"/>
      <c r="H6" s="723"/>
    </row>
    <row r="7" spans="1:10" ht="30.2" customHeight="1" x14ac:dyDescent="0.25">
      <c r="A7" s="844" t="s">
        <v>352</v>
      </c>
      <c r="B7" s="844"/>
      <c r="C7" s="844"/>
      <c r="D7" s="95"/>
      <c r="E7" s="476"/>
      <c r="F7" s="1038" t="str">
        <f>IF(D7="No", "Design as filter strip"," ")</f>
        <v xml:space="preserve"> </v>
      </c>
      <c r="G7" s="1038"/>
      <c r="H7" s="1038"/>
    </row>
    <row r="8" spans="1:10" ht="30.2" customHeight="1" x14ac:dyDescent="0.25">
      <c r="A8" s="844" t="s">
        <v>358</v>
      </c>
      <c r="B8" s="844"/>
      <c r="C8" s="844"/>
      <c r="D8" s="95"/>
      <c r="E8" s="476"/>
      <c r="F8" s="1038" t="str">
        <f>IF(D8="No","Design as Filter Strip"," ")</f>
        <v xml:space="preserve"> </v>
      </c>
      <c r="G8" s="1038"/>
      <c r="H8" s="1038"/>
    </row>
    <row r="9" spans="1:10" ht="30.2" customHeight="1" x14ac:dyDescent="0.25">
      <c r="A9" s="844" t="s">
        <v>359</v>
      </c>
      <c r="B9" s="844"/>
      <c r="C9" s="844"/>
      <c r="D9" s="95"/>
      <c r="E9" s="476"/>
      <c r="F9" s="844"/>
      <c r="G9" s="844"/>
      <c r="H9" s="844"/>
    </row>
    <row r="10" spans="1:10" ht="30.2" customHeight="1" x14ac:dyDescent="0.25">
      <c r="A10" s="844" t="s">
        <v>353</v>
      </c>
      <c r="B10" s="844"/>
      <c r="C10" s="844"/>
      <c r="D10" s="95"/>
      <c r="E10" s="476"/>
      <c r="F10" s="1038" t="str">
        <f>IF(D10="No","Design as filter Strip", " ")</f>
        <v xml:space="preserve"> </v>
      </c>
      <c r="G10" s="1038"/>
      <c r="H10" s="1038"/>
    </row>
    <row r="11" spans="1:10" ht="30.2" customHeight="1" x14ac:dyDescent="0.25">
      <c r="A11" s="844" t="s">
        <v>354</v>
      </c>
      <c r="B11" s="844"/>
      <c r="C11" s="844"/>
      <c r="D11" s="95"/>
      <c r="E11" s="476"/>
      <c r="F11" s="844" t="s">
        <v>387</v>
      </c>
      <c r="G11" s="844"/>
      <c r="H11" s="844"/>
    </row>
    <row r="12" spans="1:10" ht="30.2" customHeight="1" x14ac:dyDescent="0.25">
      <c r="A12" s="844" t="s">
        <v>355</v>
      </c>
      <c r="B12" s="844"/>
      <c r="C12" s="844"/>
      <c r="D12" s="95"/>
      <c r="E12" s="476"/>
      <c r="F12" s="844" t="s">
        <v>386</v>
      </c>
      <c r="G12" s="844"/>
      <c r="H12" s="844"/>
    </row>
    <row r="13" spans="1:10" ht="30.2" customHeight="1" x14ac:dyDescent="0.25">
      <c r="A13" s="844" t="s">
        <v>574</v>
      </c>
      <c r="B13" s="844"/>
      <c r="C13" s="844"/>
      <c r="D13" s="467"/>
      <c r="E13" s="476"/>
      <c r="F13" s="844" t="s">
        <v>367</v>
      </c>
      <c r="G13" s="844"/>
      <c r="H13" s="844"/>
    </row>
    <row r="14" spans="1:10" ht="30.2" customHeight="1" x14ac:dyDescent="0.25">
      <c r="A14" s="844" t="s">
        <v>363</v>
      </c>
      <c r="B14" s="844"/>
      <c r="C14" s="844"/>
      <c r="D14" s="467"/>
      <c r="E14" s="476" t="s">
        <v>11</v>
      </c>
      <c r="F14" s="844" t="s">
        <v>362</v>
      </c>
      <c r="G14" s="844"/>
      <c r="H14" s="844"/>
    </row>
    <row r="15" spans="1:10" ht="30.2" customHeight="1" x14ac:dyDescent="0.25">
      <c r="A15" s="844" t="s">
        <v>364</v>
      </c>
      <c r="B15" s="844"/>
      <c r="C15" s="844"/>
      <c r="D15" s="467"/>
      <c r="E15" s="476" t="s">
        <v>11</v>
      </c>
      <c r="F15" s="844" t="s">
        <v>361</v>
      </c>
      <c r="G15" s="844"/>
      <c r="H15" s="844"/>
    </row>
    <row r="16" spans="1:10" ht="30.2" customHeight="1" x14ac:dyDescent="0.25">
      <c r="A16" s="844" t="s">
        <v>372</v>
      </c>
      <c r="B16" s="844"/>
      <c r="C16" s="844"/>
      <c r="D16" s="467"/>
      <c r="E16" s="476" t="s">
        <v>12</v>
      </c>
      <c r="F16" s="814" t="s">
        <v>360</v>
      </c>
      <c r="G16" s="814"/>
      <c r="H16" s="814"/>
    </row>
    <row r="17" spans="1:8" ht="30.2" customHeight="1" x14ac:dyDescent="0.25">
      <c r="A17" s="844" t="s">
        <v>371</v>
      </c>
      <c r="B17" s="844"/>
      <c r="C17" s="844"/>
      <c r="D17" s="467"/>
      <c r="E17" s="462" t="s">
        <v>12</v>
      </c>
      <c r="F17" s="723" t="s">
        <v>365</v>
      </c>
      <c r="G17" s="723"/>
      <c r="H17" s="723"/>
    </row>
    <row r="18" spans="1:8" ht="30.2" customHeight="1" x14ac:dyDescent="0.25">
      <c r="A18" s="844" t="s">
        <v>373</v>
      </c>
      <c r="B18" s="844"/>
      <c r="C18" s="844"/>
      <c r="D18" s="466">
        <f>150-D17</f>
        <v>150</v>
      </c>
      <c r="E18" s="462" t="s">
        <v>12</v>
      </c>
      <c r="F18" s="1038" t="str">
        <f>IF(D18&gt;D16,"Error","Okay")</f>
        <v>Error</v>
      </c>
      <c r="G18" s="1038"/>
      <c r="H18" s="1038"/>
    </row>
    <row r="19" spans="1:8" ht="30.2" customHeight="1" x14ac:dyDescent="0.25">
      <c r="A19" s="844" t="s">
        <v>369</v>
      </c>
      <c r="B19" s="844"/>
      <c r="C19" s="844"/>
      <c r="D19" s="467"/>
      <c r="E19" s="462"/>
      <c r="F19" s="723"/>
      <c r="G19" s="723"/>
      <c r="H19" s="723"/>
    </row>
    <row r="20" spans="1:8" ht="30.2" customHeight="1" x14ac:dyDescent="0.25">
      <c r="A20" s="761" t="s">
        <v>366</v>
      </c>
      <c r="B20" s="761"/>
      <c r="C20" s="761"/>
      <c r="D20" s="467"/>
      <c r="E20" s="476" t="s">
        <v>12</v>
      </c>
      <c r="F20" s="844" t="s">
        <v>370</v>
      </c>
      <c r="G20" s="844"/>
      <c r="H20" s="844"/>
    </row>
    <row r="21" spans="1:8" ht="30.2" customHeight="1" x14ac:dyDescent="0.25">
      <c r="A21" s="761" t="s">
        <v>537</v>
      </c>
      <c r="B21" s="761"/>
      <c r="C21" s="761"/>
      <c r="D21" s="95"/>
      <c r="E21" s="814"/>
      <c r="F21" s="814"/>
      <c r="G21" s="814"/>
      <c r="H21" s="814"/>
    </row>
    <row r="22" spans="1:8" s="219" customFormat="1" ht="15" customHeight="1" x14ac:dyDescent="0.25">
      <c r="A22" s="1039" t="s">
        <v>374</v>
      </c>
      <c r="B22" s="1039"/>
      <c r="C22" s="1039"/>
      <c r="D22" s="1039"/>
      <c r="E22" s="1039"/>
      <c r="F22" s="1039"/>
      <c r="G22" s="1039"/>
      <c r="H22" s="1039"/>
    </row>
    <row r="23" spans="1:8" s="219" customFormat="1" ht="15" customHeight="1" x14ac:dyDescent="0.25">
      <c r="A23" s="922" t="s">
        <v>377</v>
      </c>
      <c r="B23" s="922"/>
      <c r="C23" s="922"/>
      <c r="D23" s="291">
        <f>IF(D21="Yes",B4,0)</f>
        <v>0</v>
      </c>
      <c r="E23" s="923" t="s">
        <v>375</v>
      </c>
      <c r="F23" s="923"/>
      <c r="G23" s="923"/>
      <c r="H23" s="923"/>
    </row>
    <row r="24" spans="1:8" x14ac:dyDescent="0.25">
      <c r="A24" s="922" t="s">
        <v>377</v>
      </c>
      <c r="B24" s="922"/>
      <c r="C24" s="922"/>
      <c r="D24" s="291">
        <f>IF(D21="Yes",C4,0)</f>
        <v>0</v>
      </c>
      <c r="E24" s="923" t="s">
        <v>376</v>
      </c>
      <c r="F24" s="923"/>
      <c r="G24" s="923"/>
      <c r="H24" s="923"/>
    </row>
    <row r="25" spans="1:8" x14ac:dyDescent="0.25">
      <c r="A25" s="456"/>
      <c r="B25" s="156"/>
      <c r="C25" s="456"/>
      <c r="D25" s="456"/>
      <c r="E25" s="456"/>
      <c r="F25" s="456"/>
      <c r="G25" s="456"/>
      <c r="H25" s="456"/>
    </row>
    <row r="26" spans="1:8" s="529" customFormat="1" x14ac:dyDescent="0.25">
      <c r="A26" s="501"/>
      <c r="B26" s="156"/>
      <c r="C26" s="501"/>
      <c r="D26" s="501"/>
      <c r="E26" s="501"/>
      <c r="F26" s="501"/>
      <c r="G26" s="501"/>
      <c r="H26" s="501"/>
    </row>
    <row r="27" spans="1:8" s="529" customFormat="1" x14ac:dyDescent="0.25">
      <c r="A27" s="501"/>
      <c r="B27" s="156"/>
      <c r="C27" s="501"/>
      <c r="D27" s="501"/>
      <c r="E27" s="501"/>
      <c r="F27" s="501"/>
      <c r="G27" s="501"/>
      <c r="H27" s="501"/>
    </row>
    <row r="28" spans="1:8" x14ac:dyDescent="0.25">
      <c r="A28" s="561" t="s">
        <v>600</v>
      </c>
      <c r="B28" s="562" t="str">
        <f>IF('Total WQv Calculation'!$B$3="","",'Total WQv Calculation'!$B$3)</f>
        <v/>
      </c>
      <c r="C28" s="456"/>
      <c r="D28" s="456"/>
      <c r="E28" s="456"/>
      <c r="F28" s="456"/>
      <c r="G28" s="456"/>
      <c r="H28" s="456"/>
    </row>
    <row r="29" spans="1:8" ht="30.2" customHeight="1" x14ac:dyDescent="0.25">
      <c r="A29" s="840" t="s">
        <v>79</v>
      </c>
      <c r="B29" s="840"/>
      <c r="C29" s="840"/>
      <c r="D29" s="840"/>
      <c r="E29" s="840"/>
      <c r="F29" s="840"/>
      <c r="G29" s="840"/>
      <c r="H29" s="840"/>
    </row>
    <row r="30" spans="1:8" ht="46.7" customHeight="1" x14ac:dyDescent="0.25">
      <c r="A30" s="504" t="s">
        <v>493</v>
      </c>
      <c r="B30" s="505" t="s">
        <v>610</v>
      </c>
      <c r="C30" s="578" t="s">
        <v>611</v>
      </c>
      <c r="D30" s="505" t="s">
        <v>612</v>
      </c>
      <c r="E30" s="505" t="s">
        <v>7</v>
      </c>
      <c r="F30" s="505" t="s">
        <v>613</v>
      </c>
      <c r="G30" s="505" t="s">
        <v>614</v>
      </c>
      <c r="H30" s="506" t="s">
        <v>29</v>
      </c>
    </row>
    <row r="31" spans="1:8" ht="30.2" customHeight="1" x14ac:dyDescent="0.25">
      <c r="A31" s="467"/>
      <c r="B31" s="61" t="str">
        <f>IF($A31="","",(LOOKUP($A31,'Catchment Summary Table'!$A$4:$A$33,'Catchment Summary Table'!$B$4:$B$33)))</f>
        <v/>
      </c>
      <c r="C31" s="61" t="str">
        <f>IF($A31="","",(LOOKUP($A31,'Catchment Summary Table'!$A$4:$A$33,'Catchment Summary Table'!$C$4:$C$33)))</f>
        <v/>
      </c>
      <c r="D31" s="61" t="str">
        <f>IF($A31="","",(LOOKUP($A31,'Catchment Summary Table'!$A$4:$A$33,'Catchment Summary Table'!$D$4:$D$33)))</f>
        <v/>
      </c>
      <c r="E31" s="61" t="str">
        <f>IF($A31="","",(LOOKUP($A31,'Catchment Summary Table'!$A$4:$A$33,'Catchment Summary Table'!$E$4:$E$33)))</f>
        <v/>
      </c>
      <c r="F31" s="61" t="str">
        <f>IF($A31="","",(LOOKUP($A31,'Catchment Summary Table'!$A$4:$A$33,'Catchment Summary Table'!$F$4:$F$33)))</f>
        <v/>
      </c>
      <c r="G31" s="286" t="str">
        <f>IF(B31="","",IFERROR('Total WQv Calculation'!$B$4,""))</f>
        <v/>
      </c>
      <c r="H31" s="466" t="str">
        <f>IF($A31="","",(LOOKUP($A31,'Catchment Summary Table'!$A$4:$A$33,'Catchment Summary Table'!$G$4:$G$33)))</f>
        <v/>
      </c>
    </row>
    <row r="32" spans="1:8" x14ac:dyDescent="0.25">
      <c r="A32" s="840" t="s">
        <v>63</v>
      </c>
      <c r="B32" s="840"/>
      <c r="C32" s="840"/>
      <c r="D32" s="840"/>
      <c r="E32" s="840"/>
      <c r="F32" s="840"/>
      <c r="G32" s="840"/>
      <c r="H32" s="840"/>
    </row>
    <row r="33" spans="1:8" ht="30.2" customHeight="1" x14ac:dyDescent="0.25">
      <c r="A33" s="844" t="s">
        <v>368</v>
      </c>
      <c r="B33" s="844"/>
      <c r="C33" s="844"/>
      <c r="D33" s="95"/>
      <c r="E33" s="462"/>
      <c r="F33" s="723" t="str">
        <f>IF(D33="Yes", "this practice is not applicable"," ")</f>
        <v xml:space="preserve"> </v>
      </c>
      <c r="G33" s="723"/>
      <c r="H33" s="723"/>
    </row>
    <row r="34" spans="1:8" ht="30.2" customHeight="1" x14ac:dyDescent="0.25">
      <c r="A34" s="844" t="s">
        <v>352</v>
      </c>
      <c r="B34" s="844"/>
      <c r="C34" s="844"/>
      <c r="D34" s="95"/>
      <c r="E34" s="476"/>
      <c r="F34" s="1038" t="str">
        <f>IF(D34="No", "Design as filter strip"," ")</f>
        <v xml:space="preserve"> </v>
      </c>
      <c r="G34" s="1038"/>
      <c r="H34" s="1038"/>
    </row>
    <row r="35" spans="1:8" ht="30.2" customHeight="1" x14ac:dyDescent="0.25">
      <c r="A35" s="844" t="s">
        <v>358</v>
      </c>
      <c r="B35" s="844"/>
      <c r="C35" s="844"/>
      <c r="D35" s="95"/>
      <c r="E35" s="476"/>
      <c r="F35" s="1038" t="str">
        <f>IF(D35="No","Design as Filter Strip"," ")</f>
        <v xml:space="preserve"> </v>
      </c>
      <c r="G35" s="1038"/>
      <c r="H35" s="1038"/>
    </row>
    <row r="36" spans="1:8" ht="30.2" customHeight="1" x14ac:dyDescent="0.25">
      <c r="A36" s="844" t="s">
        <v>359</v>
      </c>
      <c r="B36" s="844"/>
      <c r="C36" s="844"/>
      <c r="D36" s="95"/>
      <c r="E36" s="476"/>
      <c r="F36" s="844"/>
      <c r="G36" s="844"/>
      <c r="H36" s="844"/>
    </row>
    <row r="37" spans="1:8" ht="30.2" customHeight="1" x14ac:dyDescent="0.25">
      <c r="A37" s="844" t="s">
        <v>353</v>
      </c>
      <c r="B37" s="844"/>
      <c r="C37" s="844"/>
      <c r="D37" s="95"/>
      <c r="E37" s="476"/>
      <c r="F37" s="1038" t="str">
        <f>IF(D37="No","Design as filter Strip", " ")</f>
        <v xml:space="preserve"> </v>
      </c>
      <c r="G37" s="1038"/>
      <c r="H37" s="1038"/>
    </row>
    <row r="38" spans="1:8" ht="30.2" customHeight="1" x14ac:dyDescent="0.25">
      <c r="A38" s="844" t="s">
        <v>354</v>
      </c>
      <c r="B38" s="844"/>
      <c r="C38" s="844"/>
      <c r="D38" s="95"/>
      <c r="E38" s="476"/>
      <c r="F38" s="844" t="s">
        <v>387</v>
      </c>
      <c r="G38" s="844"/>
      <c r="H38" s="844"/>
    </row>
    <row r="39" spans="1:8" ht="30.2" customHeight="1" x14ac:dyDescent="0.25">
      <c r="A39" s="844" t="s">
        <v>355</v>
      </c>
      <c r="B39" s="844"/>
      <c r="C39" s="844"/>
      <c r="D39" s="95"/>
      <c r="E39" s="476"/>
      <c r="F39" s="844" t="s">
        <v>386</v>
      </c>
      <c r="G39" s="844"/>
      <c r="H39" s="844"/>
    </row>
    <row r="40" spans="1:8" ht="30.2" customHeight="1" x14ac:dyDescent="0.25">
      <c r="A40" s="844" t="s">
        <v>574</v>
      </c>
      <c r="B40" s="844"/>
      <c r="C40" s="844"/>
      <c r="D40" s="467"/>
      <c r="E40" s="476"/>
      <c r="F40" s="844" t="s">
        <v>367</v>
      </c>
      <c r="G40" s="844"/>
      <c r="H40" s="844"/>
    </row>
    <row r="41" spans="1:8" ht="30.2" customHeight="1" x14ac:dyDescent="0.25">
      <c r="A41" s="844" t="s">
        <v>363</v>
      </c>
      <c r="B41" s="844"/>
      <c r="C41" s="844"/>
      <c r="D41" s="467"/>
      <c r="E41" s="476" t="s">
        <v>11</v>
      </c>
      <c r="F41" s="844" t="s">
        <v>362</v>
      </c>
      <c r="G41" s="844"/>
      <c r="H41" s="844"/>
    </row>
    <row r="42" spans="1:8" ht="30.2" customHeight="1" x14ac:dyDescent="0.25">
      <c r="A42" s="844" t="s">
        <v>364</v>
      </c>
      <c r="B42" s="844"/>
      <c r="C42" s="844"/>
      <c r="D42" s="467"/>
      <c r="E42" s="476" t="s">
        <v>11</v>
      </c>
      <c r="F42" s="844" t="s">
        <v>361</v>
      </c>
      <c r="G42" s="844"/>
      <c r="H42" s="844"/>
    </row>
    <row r="43" spans="1:8" ht="30.2" customHeight="1" x14ac:dyDescent="0.25">
      <c r="A43" s="844" t="s">
        <v>372</v>
      </c>
      <c r="B43" s="844"/>
      <c r="C43" s="844"/>
      <c r="D43" s="467"/>
      <c r="E43" s="476" t="s">
        <v>12</v>
      </c>
      <c r="F43" s="814" t="s">
        <v>360</v>
      </c>
      <c r="G43" s="814"/>
      <c r="H43" s="814"/>
    </row>
    <row r="44" spans="1:8" ht="30.2" customHeight="1" x14ac:dyDescent="0.25">
      <c r="A44" s="844" t="s">
        <v>371</v>
      </c>
      <c r="B44" s="844"/>
      <c r="C44" s="844"/>
      <c r="D44" s="467"/>
      <c r="E44" s="462" t="s">
        <v>12</v>
      </c>
      <c r="F44" s="723" t="s">
        <v>365</v>
      </c>
      <c r="G44" s="723"/>
      <c r="H44" s="723"/>
    </row>
    <row r="45" spans="1:8" ht="30.2" customHeight="1" x14ac:dyDescent="0.25">
      <c r="A45" s="844" t="s">
        <v>373</v>
      </c>
      <c r="B45" s="844"/>
      <c r="C45" s="844"/>
      <c r="D45" s="466">
        <f>150-D44</f>
        <v>150</v>
      </c>
      <c r="E45" s="462" t="s">
        <v>12</v>
      </c>
      <c r="F45" s="1038" t="str">
        <f>IF(D45&gt;D43,"Error","Okay")</f>
        <v>Error</v>
      </c>
      <c r="G45" s="1038"/>
      <c r="H45" s="1038"/>
    </row>
    <row r="46" spans="1:8" ht="30.2" customHeight="1" x14ac:dyDescent="0.25">
      <c r="A46" s="844" t="s">
        <v>369</v>
      </c>
      <c r="B46" s="844"/>
      <c r="C46" s="844"/>
      <c r="D46" s="467"/>
      <c r="E46" s="462"/>
      <c r="F46" s="723"/>
      <c r="G46" s="723"/>
      <c r="H46" s="723"/>
    </row>
    <row r="47" spans="1:8" ht="30.2" customHeight="1" x14ac:dyDescent="0.25">
      <c r="A47" s="867" t="s">
        <v>366</v>
      </c>
      <c r="B47" s="844"/>
      <c r="C47" s="844"/>
      <c r="D47" s="467"/>
      <c r="E47" s="476" t="s">
        <v>12</v>
      </c>
      <c r="F47" s="844" t="s">
        <v>370</v>
      </c>
      <c r="G47" s="844"/>
      <c r="H47" s="844"/>
    </row>
    <row r="48" spans="1:8" ht="18.75" customHeight="1" x14ac:dyDescent="0.25">
      <c r="A48" s="867" t="s">
        <v>537</v>
      </c>
      <c r="B48" s="867"/>
      <c r="C48" s="867"/>
      <c r="D48" s="95"/>
      <c r="E48" s="814"/>
      <c r="F48" s="706"/>
      <c r="G48" s="706"/>
      <c r="H48" s="706"/>
    </row>
    <row r="49" spans="1:8" ht="30.2" customHeight="1" x14ac:dyDescent="0.25">
      <c r="A49" s="869" t="s">
        <v>374</v>
      </c>
      <c r="B49" s="869"/>
      <c r="C49" s="869"/>
      <c r="D49" s="869"/>
      <c r="E49" s="869"/>
      <c r="F49" s="869"/>
      <c r="G49" s="869"/>
      <c r="H49" s="869"/>
    </row>
    <row r="50" spans="1:8" ht="30.2" customHeight="1" x14ac:dyDescent="0.25">
      <c r="A50" s="922" t="s">
        <v>377</v>
      </c>
      <c r="B50" s="922"/>
      <c r="C50" s="922"/>
      <c r="D50" s="291">
        <f>IF(D48="Yes",B31,0)</f>
        <v>0</v>
      </c>
      <c r="E50" s="1040" t="s">
        <v>375</v>
      </c>
      <c r="F50" s="1040"/>
      <c r="G50" s="1040"/>
      <c r="H50" s="1040"/>
    </row>
    <row r="51" spans="1:8" x14ac:dyDescent="0.25">
      <c r="A51" s="1041" t="s">
        <v>377</v>
      </c>
      <c r="B51" s="1041"/>
      <c r="C51" s="1041"/>
      <c r="D51" s="582">
        <f>IF(D48="Yes",C31,0)</f>
        <v>0</v>
      </c>
      <c r="E51" s="1042" t="s">
        <v>376</v>
      </c>
      <c r="F51" s="1042"/>
      <c r="G51" s="1042"/>
      <c r="H51" s="1042"/>
    </row>
    <row r="52" spans="1:8" s="521" customFormat="1" x14ac:dyDescent="0.25">
      <c r="A52" s="585"/>
      <c r="B52" s="585"/>
      <c r="C52" s="585"/>
      <c r="D52" s="586"/>
      <c r="E52" s="587"/>
      <c r="F52" s="587"/>
      <c r="G52" s="587"/>
      <c r="H52" s="587"/>
    </row>
    <row r="53" spans="1:8" x14ac:dyDescent="0.25">
      <c r="A53" s="583" t="s">
        <v>600</v>
      </c>
      <c r="B53" s="584" t="str">
        <f>IF('Total WQv Calculation'!$B$3="","",'Total WQv Calculation'!$B$3)</f>
        <v/>
      </c>
      <c r="C53" s="456"/>
      <c r="D53" s="456"/>
      <c r="E53" s="456"/>
      <c r="F53" s="456"/>
      <c r="G53" s="456"/>
      <c r="H53" s="456"/>
    </row>
    <row r="54" spans="1:8" ht="30.2" customHeight="1" x14ac:dyDescent="0.25">
      <c r="A54" s="730" t="s">
        <v>79</v>
      </c>
      <c r="B54" s="731"/>
      <c r="C54" s="731"/>
      <c r="D54" s="731"/>
      <c r="E54" s="731"/>
      <c r="F54" s="731"/>
      <c r="G54" s="731"/>
      <c r="H54" s="732"/>
    </row>
    <row r="55" spans="1:8" ht="46.7" customHeight="1" x14ac:dyDescent="0.25">
      <c r="A55" s="504" t="s">
        <v>493</v>
      </c>
      <c r="B55" s="505" t="s">
        <v>610</v>
      </c>
      <c r="C55" s="578" t="s">
        <v>611</v>
      </c>
      <c r="D55" s="505" t="s">
        <v>612</v>
      </c>
      <c r="E55" s="505" t="s">
        <v>7</v>
      </c>
      <c r="F55" s="505" t="s">
        <v>613</v>
      </c>
      <c r="G55" s="505" t="s">
        <v>614</v>
      </c>
      <c r="H55" s="506" t="s">
        <v>29</v>
      </c>
    </row>
    <row r="56" spans="1:8" ht="30.2" customHeight="1" x14ac:dyDescent="0.25">
      <c r="A56" s="467"/>
      <c r="B56" s="61" t="str">
        <f>IF($A56="","",(LOOKUP($A56,'Catchment Summary Table'!$A$4:$A$33,'Catchment Summary Table'!$B$4:$B$33)))</f>
        <v/>
      </c>
      <c r="C56" s="61" t="str">
        <f>IF($A56="","",(LOOKUP($A56,'Catchment Summary Table'!$A$4:$A$33,'Catchment Summary Table'!$C$4:$C$33)))</f>
        <v/>
      </c>
      <c r="D56" s="61" t="str">
        <f>IF($A56="","",(LOOKUP($A56,'Catchment Summary Table'!$A$4:$A$33,'Catchment Summary Table'!$D$4:$D$33)))</f>
        <v/>
      </c>
      <c r="E56" s="61" t="str">
        <f>IF($A56="","",(LOOKUP($A56,'Catchment Summary Table'!$A$4:$A$33,'Catchment Summary Table'!$E$4:$E$33)))</f>
        <v/>
      </c>
      <c r="F56" s="61" t="str">
        <f>IF($A56="","",(LOOKUP($A56,'Catchment Summary Table'!$A$4:$A$33,'Catchment Summary Table'!$F$4:$F$33)))</f>
        <v/>
      </c>
      <c r="G56" s="286" t="str">
        <f>IF(B56="","",IFERROR('Total WQv Calculation'!$B$4,""))</f>
        <v/>
      </c>
      <c r="H56" s="466" t="str">
        <f>IF($A56="","",(LOOKUP($A56,'Catchment Summary Table'!$A$4:$A$33,'Catchment Summary Table'!$G$4:$G$33)))</f>
        <v/>
      </c>
    </row>
    <row r="57" spans="1:8" x14ac:dyDescent="0.25">
      <c r="A57" s="840" t="s">
        <v>63</v>
      </c>
      <c r="B57" s="840"/>
      <c r="C57" s="840"/>
      <c r="D57" s="840"/>
      <c r="E57" s="840"/>
      <c r="F57" s="840"/>
      <c r="G57" s="840"/>
      <c r="H57" s="840"/>
    </row>
    <row r="58" spans="1:8" ht="30.2" customHeight="1" x14ac:dyDescent="0.25">
      <c r="A58" s="844" t="s">
        <v>368</v>
      </c>
      <c r="B58" s="844"/>
      <c r="C58" s="844"/>
      <c r="D58" s="95"/>
      <c r="E58" s="462"/>
      <c r="F58" s="723" t="str">
        <f>IF(D58="Yes", "this practice is not applicable"," ")</f>
        <v xml:space="preserve"> </v>
      </c>
      <c r="G58" s="723"/>
      <c r="H58" s="723"/>
    </row>
    <row r="59" spans="1:8" ht="30.2" customHeight="1" x14ac:dyDescent="0.25">
      <c r="A59" s="844" t="s">
        <v>352</v>
      </c>
      <c r="B59" s="844"/>
      <c r="C59" s="844"/>
      <c r="D59" s="95"/>
      <c r="E59" s="476"/>
      <c r="F59" s="1038" t="str">
        <f>IF(D59="No", "Design as filter strip"," ")</f>
        <v xml:space="preserve"> </v>
      </c>
      <c r="G59" s="1038"/>
      <c r="H59" s="1038"/>
    </row>
    <row r="60" spans="1:8" ht="30.2" customHeight="1" x14ac:dyDescent="0.25">
      <c r="A60" s="844" t="s">
        <v>358</v>
      </c>
      <c r="B60" s="844"/>
      <c r="C60" s="844"/>
      <c r="D60" s="95"/>
      <c r="E60" s="476"/>
      <c r="F60" s="1038" t="str">
        <f>IF(D60="No","Design as Filter Strip"," ")</f>
        <v xml:space="preserve"> </v>
      </c>
      <c r="G60" s="1038"/>
      <c r="H60" s="1038"/>
    </row>
    <row r="61" spans="1:8" ht="30.2" customHeight="1" x14ac:dyDescent="0.25">
      <c r="A61" s="844" t="s">
        <v>359</v>
      </c>
      <c r="B61" s="844"/>
      <c r="C61" s="844"/>
      <c r="D61" s="95"/>
      <c r="E61" s="476"/>
      <c r="F61" s="844"/>
      <c r="G61" s="844"/>
      <c r="H61" s="844"/>
    </row>
    <row r="62" spans="1:8" ht="30.2" customHeight="1" x14ac:dyDescent="0.25">
      <c r="A62" s="844" t="s">
        <v>353</v>
      </c>
      <c r="B62" s="844"/>
      <c r="C62" s="844"/>
      <c r="D62" s="95"/>
      <c r="E62" s="476"/>
      <c r="F62" s="1038" t="str">
        <f>IF(D62="No","Design as filter Strip", " ")</f>
        <v xml:space="preserve"> </v>
      </c>
      <c r="G62" s="1038"/>
      <c r="H62" s="1038"/>
    </row>
    <row r="63" spans="1:8" ht="30.2" customHeight="1" x14ac:dyDescent="0.25">
      <c r="A63" s="844" t="s">
        <v>354</v>
      </c>
      <c r="B63" s="844"/>
      <c r="C63" s="844"/>
      <c r="D63" s="95"/>
      <c r="E63" s="476"/>
      <c r="F63" s="844" t="s">
        <v>387</v>
      </c>
      <c r="G63" s="844"/>
      <c r="H63" s="844"/>
    </row>
    <row r="64" spans="1:8" ht="30.2" customHeight="1" x14ac:dyDescent="0.25">
      <c r="A64" s="844" t="s">
        <v>355</v>
      </c>
      <c r="B64" s="844"/>
      <c r="C64" s="844"/>
      <c r="D64" s="95"/>
      <c r="E64" s="476"/>
      <c r="F64" s="844" t="s">
        <v>386</v>
      </c>
      <c r="G64" s="844"/>
      <c r="H64" s="844"/>
    </row>
    <row r="65" spans="1:8" ht="30.2" customHeight="1" x14ac:dyDescent="0.25">
      <c r="A65" s="844" t="s">
        <v>574</v>
      </c>
      <c r="B65" s="844"/>
      <c r="C65" s="844"/>
      <c r="D65" s="467"/>
      <c r="E65" s="476"/>
      <c r="F65" s="844" t="s">
        <v>367</v>
      </c>
      <c r="G65" s="844"/>
      <c r="H65" s="844"/>
    </row>
    <row r="66" spans="1:8" ht="30.2" customHeight="1" x14ac:dyDescent="0.25">
      <c r="A66" s="844" t="s">
        <v>363</v>
      </c>
      <c r="B66" s="844"/>
      <c r="C66" s="844"/>
      <c r="D66" s="467"/>
      <c r="E66" s="476" t="s">
        <v>11</v>
      </c>
      <c r="F66" s="844" t="s">
        <v>362</v>
      </c>
      <c r="G66" s="844"/>
      <c r="H66" s="844"/>
    </row>
    <row r="67" spans="1:8" ht="30.2" customHeight="1" x14ac:dyDescent="0.25">
      <c r="A67" s="844" t="s">
        <v>364</v>
      </c>
      <c r="B67" s="844"/>
      <c r="C67" s="844"/>
      <c r="D67" s="467"/>
      <c r="E67" s="476" t="s">
        <v>11</v>
      </c>
      <c r="F67" s="844" t="s">
        <v>361</v>
      </c>
      <c r="G67" s="844"/>
      <c r="H67" s="844"/>
    </row>
    <row r="68" spans="1:8" ht="30.2" customHeight="1" x14ac:dyDescent="0.25">
      <c r="A68" s="844" t="s">
        <v>372</v>
      </c>
      <c r="B68" s="844"/>
      <c r="C68" s="844"/>
      <c r="D68" s="467"/>
      <c r="E68" s="476" t="s">
        <v>12</v>
      </c>
      <c r="F68" s="814" t="s">
        <v>360</v>
      </c>
      <c r="G68" s="814"/>
      <c r="H68" s="814"/>
    </row>
    <row r="69" spans="1:8" ht="30.2" customHeight="1" x14ac:dyDescent="0.25">
      <c r="A69" s="844" t="s">
        <v>371</v>
      </c>
      <c r="B69" s="844"/>
      <c r="C69" s="844"/>
      <c r="D69" s="467"/>
      <c r="E69" s="462" t="s">
        <v>12</v>
      </c>
      <c r="F69" s="723" t="s">
        <v>365</v>
      </c>
      <c r="G69" s="723"/>
      <c r="H69" s="723"/>
    </row>
    <row r="70" spans="1:8" ht="30.2" customHeight="1" x14ac:dyDescent="0.25">
      <c r="A70" s="844" t="s">
        <v>373</v>
      </c>
      <c r="B70" s="844"/>
      <c r="C70" s="844"/>
      <c r="D70" s="466">
        <f>150-D69</f>
        <v>150</v>
      </c>
      <c r="E70" s="462" t="s">
        <v>12</v>
      </c>
      <c r="F70" s="1038" t="str">
        <f>IF(D70&gt;D68,"Error","Okay")</f>
        <v>Error</v>
      </c>
      <c r="G70" s="1038"/>
      <c r="H70" s="1038"/>
    </row>
    <row r="71" spans="1:8" ht="30.2" customHeight="1" x14ac:dyDescent="0.25">
      <c r="A71" s="844" t="s">
        <v>369</v>
      </c>
      <c r="B71" s="844"/>
      <c r="C71" s="844"/>
      <c r="D71" s="467"/>
      <c r="E71" s="462"/>
      <c r="F71" s="723"/>
      <c r="G71" s="723"/>
      <c r="H71" s="723"/>
    </row>
    <row r="72" spans="1:8" ht="30.2" customHeight="1" x14ac:dyDescent="0.25">
      <c r="A72" s="761" t="s">
        <v>366</v>
      </c>
      <c r="B72" s="761"/>
      <c r="C72" s="761"/>
      <c r="D72" s="467"/>
      <c r="E72" s="476" t="s">
        <v>12</v>
      </c>
      <c r="F72" s="844" t="s">
        <v>370</v>
      </c>
      <c r="G72" s="844"/>
      <c r="H72" s="844"/>
    </row>
    <row r="73" spans="1:8" ht="15" customHeight="1" x14ac:dyDescent="0.25">
      <c r="A73" s="867" t="s">
        <v>537</v>
      </c>
      <c r="B73" s="867"/>
      <c r="C73" s="867"/>
      <c r="D73" s="95"/>
      <c r="E73" s="814"/>
      <c r="F73" s="814"/>
      <c r="G73" s="814"/>
      <c r="H73" s="814"/>
    </row>
    <row r="74" spans="1:8" ht="30.2" customHeight="1" x14ac:dyDescent="0.25">
      <c r="A74" s="869" t="s">
        <v>374</v>
      </c>
      <c r="B74" s="869"/>
      <c r="C74" s="869"/>
      <c r="D74" s="869"/>
      <c r="E74" s="869"/>
      <c r="F74" s="869"/>
      <c r="G74" s="869"/>
      <c r="H74" s="869"/>
    </row>
    <row r="75" spans="1:8" ht="30.2" customHeight="1" x14ac:dyDescent="0.25">
      <c r="A75" s="922" t="s">
        <v>377</v>
      </c>
      <c r="B75" s="922"/>
      <c r="C75" s="922"/>
      <c r="D75" s="291">
        <f>IF(D73="Yes",B56,0)</f>
        <v>0</v>
      </c>
      <c r="E75" s="1040" t="s">
        <v>375</v>
      </c>
      <c r="F75" s="1040"/>
      <c r="G75" s="1040"/>
      <c r="H75" s="1040"/>
    </row>
    <row r="76" spans="1:8" x14ac:dyDescent="0.25">
      <c r="A76" s="1041" t="s">
        <v>377</v>
      </c>
      <c r="B76" s="1041"/>
      <c r="C76" s="1041"/>
      <c r="D76" s="582">
        <f>IF(D73="Yes",C56,0)</f>
        <v>0</v>
      </c>
      <c r="E76" s="1042" t="s">
        <v>376</v>
      </c>
      <c r="F76" s="1042"/>
      <c r="G76" s="1042"/>
      <c r="H76" s="1042"/>
    </row>
    <row r="77" spans="1:8" s="521" customFormat="1" x14ac:dyDescent="0.25">
      <c r="A77" s="585"/>
      <c r="B77" s="585"/>
      <c r="C77" s="585"/>
      <c r="D77" s="586"/>
      <c r="E77" s="587"/>
      <c r="F77" s="587"/>
      <c r="G77" s="587"/>
      <c r="H77" s="587"/>
    </row>
    <row r="78" spans="1:8" x14ac:dyDescent="0.25">
      <c r="A78" s="583" t="s">
        <v>600</v>
      </c>
      <c r="B78" s="584" t="str">
        <f>IF('Total WQv Calculation'!$B$3="","",'Total WQv Calculation'!$B$3)</f>
        <v/>
      </c>
      <c r="C78" s="456"/>
      <c r="D78" s="456"/>
      <c r="E78" s="456"/>
      <c r="F78" s="456"/>
      <c r="G78" s="456"/>
      <c r="H78" s="456"/>
    </row>
    <row r="79" spans="1:8" ht="30.2" customHeight="1" x14ac:dyDescent="0.25">
      <c r="A79" s="730" t="s">
        <v>79</v>
      </c>
      <c r="B79" s="731"/>
      <c r="C79" s="731"/>
      <c r="D79" s="731"/>
      <c r="E79" s="731"/>
      <c r="F79" s="731"/>
      <c r="G79" s="731"/>
      <c r="H79" s="732"/>
    </row>
    <row r="80" spans="1:8" ht="46.7" customHeight="1" x14ac:dyDescent="0.25">
      <c r="A80" s="504" t="s">
        <v>493</v>
      </c>
      <c r="B80" s="505" t="s">
        <v>610</v>
      </c>
      <c r="C80" s="578" t="s">
        <v>611</v>
      </c>
      <c r="D80" s="505" t="s">
        <v>612</v>
      </c>
      <c r="E80" s="505" t="s">
        <v>7</v>
      </c>
      <c r="F80" s="505" t="s">
        <v>613</v>
      </c>
      <c r="G80" s="505" t="s">
        <v>614</v>
      </c>
      <c r="H80" s="506" t="s">
        <v>29</v>
      </c>
    </row>
    <row r="81" spans="1:8" ht="30.2" customHeight="1" x14ac:dyDescent="0.25">
      <c r="A81" s="467"/>
      <c r="B81" s="61" t="str">
        <f>IF($A81="","",(LOOKUP($A81,'Catchment Summary Table'!$A$4:$A$33,'Catchment Summary Table'!$B$4:$B$33)))</f>
        <v/>
      </c>
      <c r="C81" s="61" t="str">
        <f>IF($A81="","",(LOOKUP($A81,'Catchment Summary Table'!$A$4:$A$33,'Catchment Summary Table'!$C$4:$C$33)))</f>
        <v/>
      </c>
      <c r="D81" s="61" t="str">
        <f>IF($A81="","",(LOOKUP($A81,'Catchment Summary Table'!$A$4:$A$33,'Catchment Summary Table'!$D$4:$D$33)))</f>
        <v/>
      </c>
      <c r="E81" s="61" t="str">
        <f>IF($A81="","",(LOOKUP($A81,'Catchment Summary Table'!$A$4:$A$33,'Catchment Summary Table'!$E$4:$E$33)))</f>
        <v/>
      </c>
      <c r="F81" s="61" t="str">
        <f>IF($A81="","",(LOOKUP($A81,'Catchment Summary Table'!$A$4:$A$33,'Catchment Summary Table'!$F$4:$F$33)))</f>
        <v/>
      </c>
      <c r="G81" s="286" t="str">
        <f>IF(B81="","",IFERROR('Total WQv Calculation'!$B$4,""))</f>
        <v/>
      </c>
      <c r="H81" s="466" t="str">
        <f>IF($A81="","",(LOOKUP($A81,'Catchment Summary Table'!$A$4:$A$33,'Catchment Summary Table'!$G$4:$G$33)))</f>
        <v/>
      </c>
    </row>
    <row r="82" spans="1:8" x14ac:dyDescent="0.25">
      <c r="A82" s="840" t="s">
        <v>63</v>
      </c>
      <c r="B82" s="840"/>
      <c r="C82" s="840"/>
      <c r="D82" s="840"/>
      <c r="E82" s="840"/>
      <c r="F82" s="840"/>
      <c r="G82" s="840"/>
      <c r="H82" s="840"/>
    </row>
    <row r="83" spans="1:8" ht="30.2" customHeight="1" x14ac:dyDescent="0.25">
      <c r="A83" s="844" t="s">
        <v>368</v>
      </c>
      <c r="B83" s="844"/>
      <c r="C83" s="844"/>
      <c r="D83" s="95"/>
      <c r="E83" s="462"/>
      <c r="F83" s="723" t="str">
        <f>IF(D83="Yes", "this practice is not applicable"," ")</f>
        <v xml:space="preserve"> </v>
      </c>
      <c r="G83" s="723"/>
      <c r="H83" s="723"/>
    </row>
    <row r="84" spans="1:8" ht="30.2" customHeight="1" x14ac:dyDescent="0.25">
      <c r="A84" s="844" t="s">
        <v>352</v>
      </c>
      <c r="B84" s="844"/>
      <c r="C84" s="844"/>
      <c r="D84" s="95"/>
      <c r="E84" s="476"/>
      <c r="F84" s="1038" t="str">
        <f>IF(D84="No", "Design as filter strip"," ")</f>
        <v xml:space="preserve"> </v>
      </c>
      <c r="G84" s="1038"/>
      <c r="H84" s="1038"/>
    </row>
    <row r="85" spans="1:8" ht="30.2" customHeight="1" x14ac:dyDescent="0.25">
      <c r="A85" s="844" t="s">
        <v>358</v>
      </c>
      <c r="B85" s="844"/>
      <c r="C85" s="844"/>
      <c r="D85" s="95"/>
      <c r="E85" s="476"/>
      <c r="F85" s="1038" t="str">
        <f>IF(D85="No","Design as Filter Strip"," ")</f>
        <v xml:space="preserve"> </v>
      </c>
      <c r="G85" s="1038"/>
      <c r="H85" s="1038"/>
    </row>
    <row r="86" spans="1:8" ht="30.2" customHeight="1" x14ac:dyDescent="0.25">
      <c r="A86" s="844" t="s">
        <v>359</v>
      </c>
      <c r="B86" s="844"/>
      <c r="C86" s="844"/>
      <c r="D86" s="95"/>
      <c r="E86" s="476"/>
      <c r="F86" s="844"/>
      <c r="G86" s="844"/>
      <c r="H86" s="844"/>
    </row>
    <row r="87" spans="1:8" ht="30.2" customHeight="1" x14ac:dyDescent="0.25">
      <c r="A87" s="844" t="s">
        <v>353</v>
      </c>
      <c r="B87" s="844"/>
      <c r="C87" s="844"/>
      <c r="D87" s="95"/>
      <c r="E87" s="476"/>
      <c r="F87" s="1038" t="str">
        <f>IF(D87="No","Design as filter Strip", " ")</f>
        <v xml:space="preserve"> </v>
      </c>
      <c r="G87" s="1038"/>
      <c r="H87" s="1038"/>
    </row>
    <row r="88" spans="1:8" ht="30.2" customHeight="1" x14ac:dyDescent="0.25">
      <c r="A88" s="844" t="s">
        <v>354</v>
      </c>
      <c r="B88" s="844"/>
      <c r="C88" s="844"/>
      <c r="D88" s="95"/>
      <c r="E88" s="476"/>
      <c r="F88" s="844" t="s">
        <v>387</v>
      </c>
      <c r="G88" s="844"/>
      <c r="H88" s="844"/>
    </row>
    <row r="89" spans="1:8" ht="30.2" customHeight="1" x14ac:dyDescent="0.25">
      <c r="A89" s="844" t="s">
        <v>355</v>
      </c>
      <c r="B89" s="844"/>
      <c r="C89" s="844"/>
      <c r="D89" s="95"/>
      <c r="E89" s="476"/>
      <c r="F89" s="844" t="s">
        <v>386</v>
      </c>
      <c r="G89" s="844"/>
      <c r="H89" s="844"/>
    </row>
    <row r="90" spans="1:8" ht="30.2" customHeight="1" x14ac:dyDescent="0.25">
      <c r="A90" s="844" t="s">
        <v>574</v>
      </c>
      <c r="B90" s="844"/>
      <c r="C90" s="844"/>
      <c r="D90" s="467"/>
      <c r="E90" s="476"/>
      <c r="F90" s="844" t="s">
        <v>367</v>
      </c>
      <c r="G90" s="844"/>
      <c r="H90" s="844"/>
    </row>
    <row r="91" spans="1:8" ht="30.2" customHeight="1" x14ac:dyDescent="0.25">
      <c r="A91" s="844" t="s">
        <v>363</v>
      </c>
      <c r="B91" s="844"/>
      <c r="C91" s="844"/>
      <c r="D91" s="467"/>
      <c r="E91" s="476" t="s">
        <v>11</v>
      </c>
      <c r="F91" s="844" t="s">
        <v>362</v>
      </c>
      <c r="G91" s="844"/>
      <c r="H91" s="844"/>
    </row>
    <row r="92" spans="1:8" ht="30.2" customHeight="1" x14ac:dyDescent="0.25">
      <c r="A92" s="844" t="s">
        <v>364</v>
      </c>
      <c r="B92" s="844"/>
      <c r="C92" s="844"/>
      <c r="D92" s="467"/>
      <c r="E92" s="476" t="s">
        <v>11</v>
      </c>
      <c r="F92" s="844" t="s">
        <v>361</v>
      </c>
      <c r="G92" s="844"/>
      <c r="H92" s="844"/>
    </row>
    <row r="93" spans="1:8" ht="30.2" customHeight="1" x14ac:dyDescent="0.25">
      <c r="A93" s="844" t="s">
        <v>372</v>
      </c>
      <c r="B93" s="844"/>
      <c r="C93" s="844"/>
      <c r="D93" s="467"/>
      <c r="E93" s="476" t="s">
        <v>12</v>
      </c>
      <c r="F93" s="814" t="s">
        <v>360</v>
      </c>
      <c r="G93" s="814"/>
      <c r="H93" s="814"/>
    </row>
    <row r="94" spans="1:8" ht="30.2" customHeight="1" x14ac:dyDescent="0.25">
      <c r="A94" s="844" t="s">
        <v>371</v>
      </c>
      <c r="B94" s="844"/>
      <c r="C94" s="844"/>
      <c r="D94" s="467"/>
      <c r="E94" s="462" t="s">
        <v>12</v>
      </c>
      <c r="F94" s="723" t="s">
        <v>365</v>
      </c>
      <c r="G94" s="723"/>
      <c r="H94" s="723"/>
    </row>
    <row r="95" spans="1:8" ht="30.2" customHeight="1" x14ac:dyDescent="0.25">
      <c r="A95" s="844" t="s">
        <v>373</v>
      </c>
      <c r="B95" s="844"/>
      <c r="C95" s="844"/>
      <c r="D95" s="466">
        <f>150-D94</f>
        <v>150</v>
      </c>
      <c r="E95" s="462" t="s">
        <v>12</v>
      </c>
      <c r="F95" s="1038" t="str">
        <f>IF(D95&gt;D93,"Error","Okay")</f>
        <v>Error</v>
      </c>
      <c r="G95" s="1038"/>
      <c r="H95" s="1038"/>
    </row>
    <row r="96" spans="1:8" ht="30.2" customHeight="1" x14ac:dyDescent="0.25">
      <c r="A96" s="844" t="s">
        <v>369</v>
      </c>
      <c r="B96" s="844"/>
      <c r="C96" s="844"/>
      <c r="D96" s="467"/>
      <c r="E96" s="462"/>
      <c r="F96" s="723"/>
      <c r="G96" s="723"/>
      <c r="H96" s="723"/>
    </row>
    <row r="97" spans="1:8" ht="30.2" customHeight="1" x14ac:dyDescent="0.25">
      <c r="A97" s="761" t="s">
        <v>366</v>
      </c>
      <c r="B97" s="761"/>
      <c r="C97" s="761"/>
      <c r="D97" s="467"/>
      <c r="E97" s="476" t="s">
        <v>12</v>
      </c>
      <c r="F97" s="844" t="s">
        <v>370</v>
      </c>
      <c r="G97" s="844"/>
      <c r="H97" s="844"/>
    </row>
    <row r="98" spans="1:8" s="564" customFormat="1" ht="15" customHeight="1" x14ac:dyDescent="0.25">
      <c r="A98" s="867" t="s">
        <v>537</v>
      </c>
      <c r="B98" s="867"/>
      <c r="C98" s="867"/>
      <c r="D98" s="95"/>
      <c r="E98" s="814"/>
      <c r="F98" s="814"/>
      <c r="G98" s="814"/>
      <c r="H98" s="814"/>
    </row>
    <row r="99" spans="1:8" ht="30.2" customHeight="1" x14ac:dyDescent="0.25">
      <c r="A99" s="869" t="s">
        <v>374</v>
      </c>
      <c r="B99" s="869"/>
      <c r="C99" s="869"/>
      <c r="D99" s="869"/>
      <c r="E99" s="869"/>
      <c r="F99" s="869"/>
      <c r="G99" s="869"/>
      <c r="H99" s="869"/>
    </row>
    <row r="100" spans="1:8" ht="30.2" customHeight="1" x14ac:dyDescent="0.25">
      <c r="A100" s="922" t="s">
        <v>377</v>
      </c>
      <c r="B100" s="922"/>
      <c r="C100" s="922"/>
      <c r="D100" s="291">
        <f>IF(D98="Yes",B81,0)</f>
        <v>0</v>
      </c>
      <c r="E100" s="1040" t="s">
        <v>375</v>
      </c>
      <c r="F100" s="1040"/>
      <c r="G100" s="1040"/>
      <c r="H100" s="1040"/>
    </row>
    <row r="101" spans="1:8" x14ac:dyDescent="0.25">
      <c r="A101" s="922" t="s">
        <v>377</v>
      </c>
      <c r="B101" s="922"/>
      <c r="C101" s="922"/>
      <c r="D101" s="291">
        <f>IF(D98="Yes",C81,0)</f>
        <v>0</v>
      </c>
      <c r="E101" s="923" t="s">
        <v>376</v>
      </c>
      <c r="F101" s="923"/>
      <c r="G101" s="923"/>
      <c r="H101" s="923"/>
    </row>
    <row r="102" spans="1:8" x14ac:dyDescent="0.25">
      <c r="A102" s="456"/>
      <c r="B102" s="156"/>
      <c r="C102" s="456"/>
      <c r="D102" s="456"/>
      <c r="E102" s="456"/>
      <c r="F102" s="456"/>
      <c r="G102" s="456"/>
      <c r="H102" s="456"/>
    </row>
    <row r="103" spans="1:8" x14ac:dyDescent="0.25">
      <c r="A103" s="456"/>
      <c r="B103" s="456"/>
      <c r="C103" s="456"/>
      <c r="D103" s="456"/>
      <c r="E103" s="456"/>
      <c r="F103" s="456"/>
      <c r="G103" s="456"/>
      <c r="H103" s="456"/>
    </row>
  </sheetData>
  <sheetProtection password="C7D7" sheet="1" objects="1" scenarios="1" formatColumns="0" formatRows="0"/>
  <mergeCells count="156">
    <mergeCell ref="A100:C100"/>
    <mergeCell ref="E100:H100"/>
    <mergeCell ref="A101:C101"/>
    <mergeCell ref="E101:H101"/>
    <mergeCell ref="A96:C96"/>
    <mergeCell ref="F96:H96"/>
    <mergeCell ref="A97:C97"/>
    <mergeCell ref="F97:H97"/>
    <mergeCell ref="A98:C98"/>
    <mergeCell ref="E98:H98"/>
    <mergeCell ref="A99:H99"/>
    <mergeCell ref="A93:C93"/>
    <mergeCell ref="F93:H93"/>
    <mergeCell ref="A94:C94"/>
    <mergeCell ref="F94:H94"/>
    <mergeCell ref="A95:C95"/>
    <mergeCell ref="F95:H95"/>
    <mergeCell ref="A90:C90"/>
    <mergeCell ref="F90:H90"/>
    <mergeCell ref="A91:C91"/>
    <mergeCell ref="F91:H91"/>
    <mergeCell ref="A92:C92"/>
    <mergeCell ref="F92:H92"/>
    <mergeCell ref="A74:H74"/>
    <mergeCell ref="A87:C87"/>
    <mergeCell ref="F87:H87"/>
    <mergeCell ref="A88:C88"/>
    <mergeCell ref="F88:H88"/>
    <mergeCell ref="A89:C89"/>
    <mergeCell ref="F89:H89"/>
    <mergeCell ref="A84:C84"/>
    <mergeCell ref="F84:H84"/>
    <mergeCell ref="A85:C85"/>
    <mergeCell ref="F85:H85"/>
    <mergeCell ref="A86:C86"/>
    <mergeCell ref="F86:H86"/>
    <mergeCell ref="A79:H79"/>
    <mergeCell ref="A82:H82"/>
    <mergeCell ref="A83:C83"/>
    <mergeCell ref="F83:H83"/>
    <mergeCell ref="A75:C75"/>
    <mergeCell ref="E75:H75"/>
    <mergeCell ref="A76:C76"/>
    <mergeCell ref="E76:H76"/>
    <mergeCell ref="A71:C71"/>
    <mergeCell ref="F71:H71"/>
    <mergeCell ref="A72:C72"/>
    <mergeCell ref="F72:H72"/>
    <mergeCell ref="A73:C73"/>
    <mergeCell ref="A68:C68"/>
    <mergeCell ref="F68:H68"/>
    <mergeCell ref="A69:C69"/>
    <mergeCell ref="F69:H69"/>
    <mergeCell ref="A70:C70"/>
    <mergeCell ref="F70:H70"/>
    <mergeCell ref="E73:H73"/>
    <mergeCell ref="A65:C65"/>
    <mergeCell ref="F65:H65"/>
    <mergeCell ref="A66:C66"/>
    <mergeCell ref="F66:H66"/>
    <mergeCell ref="A67:C67"/>
    <mergeCell ref="F67:H67"/>
    <mergeCell ref="A62:C62"/>
    <mergeCell ref="F62:H62"/>
    <mergeCell ref="A63:C63"/>
    <mergeCell ref="F63:H63"/>
    <mergeCell ref="A64:C64"/>
    <mergeCell ref="F64:H64"/>
    <mergeCell ref="A59:C59"/>
    <mergeCell ref="F59:H59"/>
    <mergeCell ref="A60:C60"/>
    <mergeCell ref="F60:H60"/>
    <mergeCell ref="A61:C61"/>
    <mergeCell ref="F61:H61"/>
    <mergeCell ref="A54:H54"/>
    <mergeCell ref="A57:H57"/>
    <mergeCell ref="A58:C58"/>
    <mergeCell ref="F58:H58"/>
    <mergeCell ref="A50:C50"/>
    <mergeCell ref="E50:H50"/>
    <mergeCell ref="A51:C51"/>
    <mergeCell ref="E51:H51"/>
    <mergeCell ref="A46:C46"/>
    <mergeCell ref="F46:H46"/>
    <mergeCell ref="A47:C47"/>
    <mergeCell ref="F47:H47"/>
    <mergeCell ref="A48:C48"/>
    <mergeCell ref="E48:H48"/>
    <mergeCell ref="A49:H49"/>
    <mergeCell ref="A43:C43"/>
    <mergeCell ref="F43:H43"/>
    <mergeCell ref="A44:C44"/>
    <mergeCell ref="F44:H44"/>
    <mergeCell ref="A45:C45"/>
    <mergeCell ref="F45:H45"/>
    <mergeCell ref="A40:C40"/>
    <mergeCell ref="F40:H40"/>
    <mergeCell ref="A41:C41"/>
    <mergeCell ref="F41:H41"/>
    <mergeCell ref="A42:C42"/>
    <mergeCell ref="F42:H42"/>
    <mergeCell ref="A37:C37"/>
    <mergeCell ref="F37:H37"/>
    <mergeCell ref="A38:C38"/>
    <mergeCell ref="F38:H38"/>
    <mergeCell ref="A39:C39"/>
    <mergeCell ref="F39:H39"/>
    <mergeCell ref="A34:C34"/>
    <mergeCell ref="F34:H34"/>
    <mergeCell ref="A35:C35"/>
    <mergeCell ref="F35:H35"/>
    <mergeCell ref="A36:C36"/>
    <mergeCell ref="F36:H36"/>
    <mergeCell ref="A29:H29"/>
    <mergeCell ref="A32:H32"/>
    <mergeCell ref="A33:C33"/>
    <mergeCell ref="F33:H33"/>
    <mergeCell ref="A7:C7"/>
    <mergeCell ref="F7:H7"/>
    <mergeCell ref="F9:H9"/>
    <mergeCell ref="F10:H10"/>
    <mergeCell ref="A24:C24"/>
    <mergeCell ref="E23:H23"/>
    <mergeCell ref="E24:H24"/>
    <mergeCell ref="A21:C21"/>
    <mergeCell ref="A23:C23"/>
    <mergeCell ref="A17:C17"/>
    <mergeCell ref="F17:H17"/>
    <mergeCell ref="A20:C20"/>
    <mergeCell ref="F20:H20"/>
    <mergeCell ref="F13:H13"/>
    <mergeCell ref="A19:C19"/>
    <mergeCell ref="E21:H21"/>
    <mergeCell ref="A22:H22"/>
    <mergeCell ref="A2:H2"/>
    <mergeCell ref="A5:H5"/>
    <mergeCell ref="A6:C6"/>
    <mergeCell ref="F6:H6"/>
    <mergeCell ref="F19:H19"/>
    <mergeCell ref="A8:C8"/>
    <mergeCell ref="A9:C9"/>
    <mergeCell ref="A10:C10"/>
    <mergeCell ref="A11:C11"/>
    <mergeCell ref="A12:C12"/>
    <mergeCell ref="A13:C13"/>
    <mergeCell ref="F8:H8"/>
    <mergeCell ref="A14:C14"/>
    <mergeCell ref="A15:C15"/>
    <mergeCell ref="A16:C16"/>
    <mergeCell ref="F16:H16"/>
    <mergeCell ref="F15:H15"/>
    <mergeCell ref="F14:H14"/>
    <mergeCell ref="F12:H12"/>
    <mergeCell ref="F11:H11"/>
    <mergeCell ref="A18:C18"/>
    <mergeCell ref="F18:H18"/>
  </mergeCells>
  <dataValidations count="3">
    <dataValidation type="list" showInputMessage="1" showErrorMessage="1" promptTitle="Yes or No?" sqref="D83:D89 D98 D73 D58:D64 D21 D6:D12 D33:D39 D48">
      <formula1>YesNo</formula1>
    </dataValidation>
    <dataValidation type="list" allowBlank="1" showInputMessage="1" showErrorMessage="1" promptTitle="Select A Soil Type" sqref="D96 D71 D19 D46">
      <formula1>SoilType</formula1>
    </dataValidation>
    <dataValidation type="list" showInputMessage="1" showErrorMessage="1" promptTitle="Choose Area" sqref="A81 A56 A4 A31">
      <formula1>CatchNo</formula1>
    </dataValidation>
  </dataValidations>
  <pageMargins left="0.7" right="0.7" top="0.75" bottom="0.75" header="0.3" footer="0.3"/>
  <pageSetup orientation="portrait" r:id="rId1"/>
  <headerFooter>
    <oddHeader>&amp;C&amp;18Riparian Buffer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52"/>
  <sheetViews>
    <sheetView view="pageLayout" zoomScaleNormal="100" workbookViewId="0">
      <selection activeCell="A13" sqref="A13"/>
    </sheetView>
  </sheetViews>
  <sheetFormatPr defaultColWidth="9.140625" defaultRowHeight="15" x14ac:dyDescent="0.25"/>
  <cols>
    <col min="1" max="2" width="12.7109375" style="475" customWidth="1"/>
    <col min="3" max="3" width="11.42578125" style="475" customWidth="1"/>
    <col min="4" max="4" width="10.7109375" style="475" customWidth="1"/>
    <col min="5" max="5" width="6.42578125" style="475" customWidth="1"/>
    <col min="6" max="6" width="8.7109375" style="475" customWidth="1"/>
    <col min="7" max="7" width="12.140625" style="475" customWidth="1"/>
    <col min="8" max="8" width="15.28515625" style="475" customWidth="1"/>
    <col min="9" max="9" width="20.85546875" style="475" bestFit="1" customWidth="1"/>
    <col min="10" max="16384" width="9.140625" style="475"/>
  </cols>
  <sheetData>
    <row r="1" spans="1:10" ht="17.25" customHeight="1" x14ac:dyDescent="0.25">
      <c r="A1" s="1049" t="s">
        <v>80</v>
      </c>
      <c r="B1" s="1050"/>
      <c r="C1" s="1050"/>
      <c r="D1" s="1050"/>
      <c r="E1" s="1050"/>
      <c r="F1" s="1050"/>
      <c r="G1" s="1050"/>
      <c r="H1" s="1050"/>
      <c r="I1" s="475" t="s">
        <v>518</v>
      </c>
      <c r="J1" s="315">
        <f>SUM(B32,B68,B110,B152)</f>
        <v>0</v>
      </c>
    </row>
    <row r="2" spans="1:10" ht="45" customHeight="1" x14ac:dyDescent="0.25">
      <c r="A2" s="565" t="s">
        <v>608</v>
      </c>
      <c r="B2" s="169" t="s">
        <v>224</v>
      </c>
      <c r="C2" s="1051" t="s">
        <v>204</v>
      </c>
      <c r="D2" s="1051"/>
      <c r="E2" s="1051"/>
      <c r="F2" s="1051"/>
      <c r="G2" s="1051"/>
      <c r="H2" s="1051"/>
      <c r="I2" s="475" t="s">
        <v>5</v>
      </c>
      <c r="J2" s="315">
        <f>SUM(B13,B49,B91,B133)</f>
        <v>0</v>
      </c>
    </row>
    <row r="3" spans="1:10" ht="15" customHeight="1" x14ac:dyDescent="0.25">
      <c r="B3" s="169" t="s">
        <v>1</v>
      </c>
      <c r="C3" s="1051" t="s">
        <v>555</v>
      </c>
      <c r="D3" s="1051"/>
      <c r="E3" s="1051"/>
      <c r="F3" s="1051"/>
      <c r="G3" s="1051"/>
      <c r="H3" s="1051"/>
      <c r="I3" s="475" t="s">
        <v>521</v>
      </c>
      <c r="J3" s="315">
        <f>SUM(C13,C49,C91,C133)</f>
        <v>0</v>
      </c>
    </row>
    <row r="4" spans="1:10" ht="15" customHeight="1" x14ac:dyDescent="0.25">
      <c r="B4" s="169" t="s">
        <v>14</v>
      </c>
      <c r="C4" s="1051" t="s">
        <v>225</v>
      </c>
      <c r="D4" s="1051"/>
      <c r="E4" s="1051"/>
      <c r="F4" s="1051"/>
      <c r="G4" s="1051"/>
      <c r="H4" s="1051"/>
    </row>
    <row r="5" spans="1:10" ht="15" customHeight="1" x14ac:dyDescent="0.25">
      <c r="B5" s="169" t="s">
        <v>200</v>
      </c>
      <c r="C5" s="1051" t="s">
        <v>226</v>
      </c>
      <c r="D5" s="1051"/>
      <c r="E5" s="1051"/>
      <c r="F5" s="1051"/>
      <c r="G5" s="1051"/>
      <c r="H5" s="1051"/>
    </row>
    <row r="6" spans="1:10" ht="30.2" customHeight="1" x14ac:dyDescent="0.25">
      <c r="B6" s="474"/>
      <c r="C6" s="1051" t="s">
        <v>557</v>
      </c>
      <c r="D6" s="1051"/>
      <c r="E6" s="1051"/>
      <c r="F6" s="1051"/>
      <c r="G6" s="1051"/>
      <c r="H6" s="1051"/>
    </row>
    <row r="7" spans="1:10" ht="30.2" customHeight="1" x14ac:dyDescent="0.25">
      <c r="B7" s="169" t="s">
        <v>16</v>
      </c>
      <c r="C7" s="1051" t="s">
        <v>227</v>
      </c>
      <c r="D7" s="1051"/>
      <c r="E7" s="1051"/>
      <c r="F7" s="1051"/>
      <c r="G7" s="1051"/>
      <c r="H7" s="1051"/>
    </row>
    <row r="8" spans="1:10" ht="15" customHeight="1" x14ac:dyDescent="0.25">
      <c r="B8" s="169" t="s">
        <v>17</v>
      </c>
      <c r="C8" s="1051" t="s">
        <v>202</v>
      </c>
      <c r="D8" s="1051"/>
      <c r="E8" s="1051"/>
      <c r="F8" s="1051"/>
      <c r="G8" s="1051"/>
      <c r="H8" s="1051"/>
    </row>
    <row r="9" spans="1:10" ht="15" customHeight="1" x14ac:dyDescent="0.25">
      <c r="B9" s="169"/>
      <c r="C9" s="571"/>
      <c r="D9" s="571"/>
      <c r="E9" s="571"/>
      <c r="F9" s="571"/>
      <c r="G9" s="571"/>
      <c r="H9" s="571"/>
    </row>
    <row r="10" spans="1:10" ht="15" customHeight="1" x14ac:dyDescent="0.25">
      <c r="A10" s="561" t="s">
        <v>600</v>
      </c>
      <c r="B10" s="562" t="str">
        <f>IF('Total WQv Calculation'!$B$3="","",'Total WQv Calculation'!$B$3)</f>
        <v/>
      </c>
      <c r="C10" s="566"/>
      <c r="D10" s="566"/>
      <c r="E10" s="566"/>
      <c r="F10" s="566"/>
      <c r="G10" s="566"/>
      <c r="H10" s="566"/>
    </row>
    <row r="11" spans="1:10" ht="15" customHeight="1" x14ac:dyDescent="0.25">
      <c r="A11" s="730" t="s">
        <v>79</v>
      </c>
      <c r="B11" s="731"/>
      <c r="C11" s="731"/>
      <c r="D11" s="731"/>
      <c r="E11" s="731"/>
      <c r="F11" s="731"/>
      <c r="G11" s="731"/>
      <c r="H11" s="732"/>
    </row>
    <row r="12" spans="1:10" ht="46.7" customHeight="1" x14ac:dyDescent="0.25">
      <c r="A12" s="504" t="s">
        <v>493</v>
      </c>
      <c r="B12" s="505" t="s">
        <v>610</v>
      </c>
      <c r="C12" s="578" t="s">
        <v>611</v>
      </c>
      <c r="D12" s="505" t="s">
        <v>612</v>
      </c>
      <c r="E12" s="505" t="s">
        <v>7</v>
      </c>
      <c r="F12" s="505" t="s">
        <v>613</v>
      </c>
      <c r="G12" s="505" t="s">
        <v>614</v>
      </c>
      <c r="H12" s="506" t="s">
        <v>29</v>
      </c>
    </row>
    <row r="13" spans="1:10" ht="30.2" customHeight="1" x14ac:dyDescent="0.25">
      <c r="A13" s="213"/>
      <c r="B13" s="61" t="str">
        <f>IF($A13="","",(LOOKUP($A13,'Catchment Summary Table'!$A$4:$A$33,'Catchment Summary Table'!$B$4:$B$33)))</f>
        <v/>
      </c>
      <c r="C13" s="61" t="str">
        <f>IF($A13="","",(LOOKUP($A13,'Catchment Summary Table'!$A$4:$A$33,'Catchment Summary Table'!$C$4:$C$33)))</f>
        <v/>
      </c>
      <c r="D13" s="61" t="str">
        <f>IF($A13="","",(LOOKUP($A13,'Catchment Summary Table'!$A$4:$A$33,'Catchment Summary Table'!$D$4:$D$33)))</f>
        <v/>
      </c>
      <c r="E13" s="61" t="str">
        <f>IF($A13="","",(LOOKUP($A13,'Catchment Summary Table'!$A$4:$A$33,'Catchment Summary Table'!$E$4:$E$33)))</f>
        <v/>
      </c>
      <c r="F13" s="61" t="str">
        <f>IF($A13="","",(LOOKUP($A13,'Catchment Summary Table'!$A$4:$A$33,'Catchment Summary Table'!$F$4:$F$33)))</f>
        <v/>
      </c>
      <c r="G13" s="448" t="str">
        <f>IF(B13="","",'Total WQv Calculation'!$B$4)</f>
        <v/>
      </c>
      <c r="H13" s="466" t="str">
        <f>IF($A13="","",(LOOKUP($A13,'Catchment Summary Table'!$A$4:$A$33,'Catchment Summary Table'!$G$4:$G$33)))</f>
        <v/>
      </c>
    </row>
    <row r="14" spans="1:10" ht="15" customHeight="1" x14ac:dyDescent="0.25">
      <c r="A14" s="730" t="s">
        <v>109</v>
      </c>
      <c r="B14" s="731"/>
      <c r="C14" s="731"/>
      <c r="D14" s="731"/>
      <c r="E14" s="731"/>
      <c r="F14" s="731"/>
      <c r="G14" s="731"/>
      <c r="H14" s="732"/>
    </row>
    <row r="15" spans="1:10" x14ac:dyDescent="0.25">
      <c r="A15" s="764" t="s">
        <v>609</v>
      </c>
      <c r="B15" s="766"/>
      <c r="C15" s="210" t="s">
        <v>24</v>
      </c>
      <c r="D15" s="210" t="s">
        <v>21</v>
      </c>
      <c r="E15" s="462"/>
      <c r="H15" s="567"/>
    </row>
    <row r="16" spans="1:10" ht="15" customHeight="1" x14ac:dyDescent="0.25">
      <c r="A16" s="1043" t="s">
        <v>1</v>
      </c>
      <c r="B16" s="1044"/>
      <c r="C16" s="469" t="str">
        <f>F13</f>
        <v/>
      </c>
      <c r="D16" s="473" t="s">
        <v>207</v>
      </c>
      <c r="E16" s="482" t="s">
        <v>1</v>
      </c>
      <c r="H16" s="339"/>
    </row>
    <row r="17" spans="1:8" ht="18" customHeight="1" x14ac:dyDescent="0.25">
      <c r="A17" s="1043" t="s">
        <v>93</v>
      </c>
      <c r="B17" s="1044"/>
      <c r="C17" s="467"/>
      <c r="D17" s="473" t="s">
        <v>12</v>
      </c>
      <c r="E17" s="482" t="s">
        <v>14</v>
      </c>
      <c r="H17" s="339"/>
    </row>
    <row r="18" spans="1:8" ht="18" customHeight="1" x14ac:dyDescent="0.25">
      <c r="A18" s="1043" t="s">
        <v>112</v>
      </c>
      <c r="B18" s="1044"/>
      <c r="C18" s="467"/>
      <c r="D18" s="473" t="s">
        <v>110</v>
      </c>
      <c r="E18" s="482" t="s">
        <v>15</v>
      </c>
      <c r="H18" s="339"/>
    </row>
    <row r="19" spans="1:8" ht="18" customHeight="1" x14ac:dyDescent="0.25">
      <c r="A19" s="1043" t="s">
        <v>113</v>
      </c>
      <c r="B19" s="1044"/>
      <c r="C19" s="467"/>
      <c r="D19" s="473" t="s">
        <v>12</v>
      </c>
      <c r="E19" s="482" t="s">
        <v>16</v>
      </c>
      <c r="H19" s="339"/>
    </row>
    <row r="20" spans="1:8" ht="18" customHeight="1" x14ac:dyDescent="0.25">
      <c r="A20" s="1043" t="s">
        <v>114</v>
      </c>
      <c r="B20" s="1044"/>
      <c r="C20" s="467"/>
      <c r="D20" s="473" t="s">
        <v>111</v>
      </c>
      <c r="E20" s="482" t="s">
        <v>17</v>
      </c>
      <c r="H20" s="339"/>
    </row>
    <row r="21" spans="1:8" ht="18" customHeight="1" x14ac:dyDescent="0.25">
      <c r="A21" s="1043" t="s">
        <v>22</v>
      </c>
      <c r="B21" s="1044"/>
      <c r="C21" s="211" t="e">
        <f>IF(C16=0,0,C16*C17/(C18*(C19+C17)*C20))</f>
        <v>#VALUE!</v>
      </c>
      <c r="D21" s="487" t="s">
        <v>210</v>
      </c>
      <c r="E21" s="209" t="s">
        <v>20</v>
      </c>
      <c r="H21" s="339"/>
    </row>
    <row r="22" spans="1:8" ht="15" customHeight="1" x14ac:dyDescent="0.25">
      <c r="A22" s="730" t="s">
        <v>115</v>
      </c>
      <c r="B22" s="731"/>
      <c r="C22" s="731"/>
      <c r="D22" s="731"/>
      <c r="E22" s="731"/>
      <c r="F22" s="731"/>
      <c r="G22" s="731"/>
      <c r="H22" s="732"/>
    </row>
    <row r="23" spans="1:8" x14ac:dyDescent="0.25">
      <c r="A23" s="1043" t="s">
        <v>116</v>
      </c>
      <c r="B23" s="1044"/>
      <c r="C23" s="467"/>
      <c r="D23" s="474" t="s">
        <v>12</v>
      </c>
      <c r="H23" s="567"/>
    </row>
    <row r="24" spans="1:8" x14ac:dyDescent="0.25">
      <c r="A24" s="1043" t="s">
        <v>9</v>
      </c>
      <c r="B24" s="1044"/>
      <c r="C24" s="467"/>
      <c r="D24" s="474" t="s">
        <v>12</v>
      </c>
      <c r="H24" s="339"/>
    </row>
    <row r="25" spans="1:8" ht="18" customHeight="1" x14ac:dyDescent="0.25">
      <c r="A25" s="1043" t="s">
        <v>476</v>
      </c>
      <c r="B25" s="1044"/>
      <c r="C25" s="466">
        <f>C24*C23</f>
        <v>0</v>
      </c>
      <c r="D25" s="474" t="s">
        <v>210</v>
      </c>
      <c r="H25" s="339"/>
    </row>
    <row r="26" spans="1:8" ht="18" customHeight="1" x14ac:dyDescent="0.25">
      <c r="A26" s="1043" t="s">
        <v>309</v>
      </c>
      <c r="B26" s="1044"/>
      <c r="C26" s="182" t="e">
        <f>IF(C16=0,0,C25*C18*(C19+C17)*C20/C17)</f>
        <v>#DIV/0!</v>
      </c>
      <c r="D26" s="474"/>
      <c r="H26" s="332"/>
    </row>
    <row r="27" spans="1:8" ht="15" customHeight="1" x14ac:dyDescent="0.25">
      <c r="A27" s="730" t="s">
        <v>32</v>
      </c>
      <c r="B27" s="731"/>
      <c r="C27" s="731"/>
      <c r="D27" s="731"/>
      <c r="E27" s="731"/>
      <c r="F27" s="731"/>
      <c r="G27" s="731"/>
      <c r="H27" s="732"/>
    </row>
    <row r="28" spans="1:8" x14ac:dyDescent="0.25">
      <c r="A28" s="1045" t="s">
        <v>394</v>
      </c>
      <c r="B28" s="1046"/>
      <c r="C28" s="213"/>
      <c r="D28" s="47"/>
      <c r="E28" s="47"/>
      <c r="F28" s="47"/>
      <c r="G28" s="47"/>
      <c r="H28" s="568"/>
    </row>
    <row r="29" spans="1:8" ht="18" customHeight="1" x14ac:dyDescent="0.25">
      <c r="A29" s="1047" t="s">
        <v>556</v>
      </c>
      <c r="B29" s="1048"/>
      <c r="C29" s="95"/>
      <c r="D29" s="569"/>
      <c r="E29" s="569"/>
      <c r="F29" s="569"/>
      <c r="G29" s="569"/>
      <c r="H29" s="570"/>
    </row>
    <row r="30" spans="1:8" s="472" customFormat="1" ht="15" customHeight="1" x14ac:dyDescent="0.25">
      <c r="A30" s="730" t="s">
        <v>61</v>
      </c>
      <c r="B30" s="731"/>
      <c r="C30" s="731"/>
      <c r="D30" s="731"/>
      <c r="E30" s="731"/>
      <c r="F30" s="731"/>
      <c r="G30" s="731"/>
      <c r="H30" s="732"/>
    </row>
    <row r="31" spans="1:8" s="472" customFormat="1" ht="30.2" customHeight="1" x14ac:dyDescent="0.25">
      <c r="A31" s="460" t="s">
        <v>23</v>
      </c>
      <c r="B31" s="247" t="str">
        <f>F13</f>
        <v/>
      </c>
      <c r="C31" s="484" t="s">
        <v>249</v>
      </c>
      <c r="D31" s="927"/>
      <c r="E31" s="883"/>
      <c r="F31" s="883"/>
      <c r="G31" s="883"/>
      <c r="H31" s="884"/>
    </row>
    <row r="32" spans="1:8" ht="30.2" customHeight="1" x14ac:dyDescent="0.25">
      <c r="A32" s="460" t="s">
        <v>470</v>
      </c>
      <c r="B32" s="247" t="str">
        <f>IF(C29="Yes",(IF(C28="A",1,0)+IF(C28="B",1,0)+IF(C28="C",0.45,0)+IF(C28="D",0.3,0))*B31,B31)</f>
        <v/>
      </c>
      <c r="C32" s="484" t="s">
        <v>249</v>
      </c>
      <c r="D32" s="927"/>
      <c r="E32" s="883"/>
      <c r="F32" s="883"/>
      <c r="G32" s="883"/>
      <c r="H32" s="884"/>
    </row>
    <row r="33" spans="1:8" s="472" customFormat="1" ht="15" customHeight="1" x14ac:dyDescent="0.25">
      <c r="A33" s="305"/>
      <c r="B33" s="363"/>
      <c r="C33" s="364"/>
      <c r="D33" s="305"/>
      <c r="E33" s="305"/>
      <c r="F33" s="305"/>
      <c r="G33" s="305"/>
      <c r="H33" s="305"/>
    </row>
    <row r="34" spans="1:8" s="472" customFormat="1" ht="15" customHeight="1" x14ac:dyDescent="0.25">
      <c r="A34" s="305"/>
      <c r="B34" s="363"/>
      <c r="C34" s="364"/>
      <c r="D34" s="305"/>
      <c r="E34" s="305"/>
      <c r="F34" s="305"/>
      <c r="G34" s="305"/>
      <c r="H34" s="305"/>
    </row>
    <row r="35" spans="1:8" s="472" customFormat="1" ht="15" customHeight="1" x14ac:dyDescent="0.25">
      <c r="A35" s="305"/>
      <c r="B35" s="363"/>
      <c r="C35" s="364"/>
      <c r="D35" s="305"/>
      <c r="E35" s="305"/>
      <c r="F35" s="305"/>
      <c r="G35" s="305"/>
      <c r="H35" s="305"/>
    </row>
    <row r="36" spans="1:8" s="472" customFormat="1" ht="15" customHeight="1" x14ac:dyDescent="0.25">
      <c r="A36" s="305"/>
      <c r="B36" s="363"/>
      <c r="C36" s="364"/>
      <c r="D36" s="305"/>
      <c r="E36" s="305"/>
      <c r="F36" s="305"/>
      <c r="G36" s="305"/>
      <c r="H36" s="305"/>
    </row>
    <row r="37" spans="1:8" x14ac:dyDescent="0.25">
      <c r="A37" s="1049" t="s">
        <v>80</v>
      </c>
      <c r="B37" s="1050"/>
      <c r="C37" s="1050"/>
      <c r="D37" s="1050"/>
      <c r="E37" s="1050"/>
      <c r="F37" s="1050"/>
      <c r="G37" s="1050"/>
      <c r="H37" s="1050"/>
    </row>
    <row r="38" spans="1:8" x14ac:dyDescent="0.25">
      <c r="A38" s="565" t="s">
        <v>608</v>
      </c>
      <c r="B38" s="169" t="s">
        <v>224</v>
      </c>
      <c r="C38" s="1051" t="s">
        <v>204</v>
      </c>
      <c r="D38" s="1051"/>
      <c r="E38" s="1051"/>
      <c r="F38" s="1051"/>
      <c r="G38" s="1051"/>
      <c r="H38" s="1051"/>
    </row>
    <row r="39" spans="1:8" x14ac:dyDescent="0.25">
      <c r="B39" s="169" t="s">
        <v>1</v>
      </c>
      <c r="C39" s="1051" t="s">
        <v>555</v>
      </c>
      <c r="D39" s="1051"/>
      <c r="E39" s="1051"/>
      <c r="F39" s="1051"/>
      <c r="G39" s="1051"/>
      <c r="H39" s="1051"/>
    </row>
    <row r="40" spans="1:8" x14ac:dyDescent="0.25">
      <c r="B40" s="169" t="s">
        <v>14</v>
      </c>
      <c r="C40" s="1051" t="s">
        <v>225</v>
      </c>
      <c r="D40" s="1051"/>
      <c r="E40" s="1051"/>
      <c r="F40" s="1051"/>
      <c r="G40" s="1051"/>
      <c r="H40" s="1051"/>
    </row>
    <row r="41" spans="1:8" x14ac:dyDescent="0.25">
      <c r="B41" s="169" t="s">
        <v>200</v>
      </c>
      <c r="C41" s="1051" t="s">
        <v>226</v>
      </c>
      <c r="D41" s="1051"/>
      <c r="E41" s="1051"/>
      <c r="F41" s="1051"/>
      <c r="G41" s="1051"/>
      <c r="H41" s="1051"/>
    </row>
    <row r="42" spans="1:8" x14ac:dyDescent="0.25">
      <c r="B42" s="474"/>
      <c r="C42" s="1051" t="s">
        <v>557</v>
      </c>
      <c r="D42" s="1051"/>
      <c r="E42" s="1051"/>
      <c r="F42" s="1051"/>
      <c r="G42" s="1051"/>
      <c r="H42" s="1051"/>
    </row>
    <row r="43" spans="1:8" x14ac:dyDescent="0.25">
      <c r="B43" s="169" t="s">
        <v>16</v>
      </c>
      <c r="C43" s="1051" t="s">
        <v>227</v>
      </c>
      <c r="D43" s="1051"/>
      <c r="E43" s="1051"/>
      <c r="F43" s="1051"/>
      <c r="G43" s="1051"/>
      <c r="H43" s="1051"/>
    </row>
    <row r="44" spans="1:8" x14ac:dyDescent="0.25">
      <c r="B44" s="169" t="s">
        <v>17</v>
      </c>
      <c r="C44" s="1051" t="s">
        <v>202</v>
      </c>
      <c r="D44" s="1051"/>
      <c r="E44" s="1051"/>
      <c r="F44" s="1051"/>
      <c r="G44" s="1051"/>
      <c r="H44" s="1051"/>
    </row>
    <row r="45" spans="1:8" x14ac:dyDescent="0.25">
      <c r="B45" s="169"/>
      <c r="C45" s="571"/>
      <c r="D45" s="571"/>
      <c r="E45" s="571"/>
      <c r="F45" s="571"/>
      <c r="G45" s="571"/>
      <c r="H45" s="571"/>
    </row>
    <row r="46" spans="1:8" ht="15" customHeight="1" x14ac:dyDescent="0.25">
      <c r="A46" s="561" t="s">
        <v>600</v>
      </c>
      <c r="B46" s="562" t="str">
        <f>IF('Total WQv Calculation'!$B$3="","",'Total WQv Calculation'!$B$3)</f>
        <v/>
      </c>
      <c r="C46" s="566"/>
      <c r="D46" s="566"/>
      <c r="E46" s="566"/>
      <c r="F46" s="566"/>
      <c r="G46" s="566"/>
      <c r="H46" s="566"/>
    </row>
    <row r="47" spans="1:8" x14ac:dyDescent="0.25">
      <c r="A47" s="730" t="s">
        <v>79</v>
      </c>
      <c r="B47" s="731"/>
      <c r="C47" s="731"/>
      <c r="D47" s="731"/>
      <c r="E47" s="731"/>
      <c r="F47" s="731"/>
      <c r="G47" s="731"/>
      <c r="H47" s="732"/>
    </row>
    <row r="48" spans="1:8" ht="46.7" customHeight="1" x14ac:dyDescent="0.25">
      <c r="A48" s="504" t="s">
        <v>493</v>
      </c>
      <c r="B48" s="505" t="s">
        <v>610</v>
      </c>
      <c r="C48" s="578" t="s">
        <v>611</v>
      </c>
      <c r="D48" s="505" t="s">
        <v>612</v>
      </c>
      <c r="E48" s="505" t="s">
        <v>7</v>
      </c>
      <c r="F48" s="505" t="s">
        <v>613</v>
      </c>
      <c r="G48" s="505" t="s">
        <v>614</v>
      </c>
      <c r="H48" s="506" t="s">
        <v>29</v>
      </c>
    </row>
    <row r="49" spans="1:8" ht="30.2" customHeight="1" x14ac:dyDescent="0.25">
      <c r="A49" s="213"/>
      <c r="B49" s="61" t="str">
        <f>IF($A49="","",(LOOKUP($A49,'Catchment Summary Table'!$A$4:$A$33,'Catchment Summary Table'!$B$4:$B$33)))</f>
        <v/>
      </c>
      <c r="C49" s="61" t="str">
        <f>IF($A49="","",(LOOKUP($A49,'Catchment Summary Table'!$A$4:$A$33,'Catchment Summary Table'!$C$4:$C$33)))</f>
        <v/>
      </c>
      <c r="D49" s="61" t="str">
        <f>IF($A49="","",(LOOKUP($A49,'Catchment Summary Table'!$A$4:$A$33,'Catchment Summary Table'!$D$4:$D$33)))</f>
        <v/>
      </c>
      <c r="E49" s="61" t="str">
        <f>IF($A49="","",(LOOKUP($A49,'Catchment Summary Table'!$A$4:$A$33,'Catchment Summary Table'!$E$4:$E$33)))</f>
        <v/>
      </c>
      <c r="F49" s="61" t="str">
        <f>IF($A49="","",(LOOKUP($A49,'Catchment Summary Table'!$A$4:$A$33,'Catchment Summary Table'!$F$4:$F$33)))</f>
        <v/>
      </c>
      <c r="G49" s="448" t="str">
        <f>IF(B49="","",'Total WQv Calculation'!$B$4)</f>
        <v/>
      </c>
      <c r="H49" s="466" t="str">
        <f>IF($A49="","",(LOOKUP($A49,'Catchment Summary Table'!$A$4:$A$33,'Catchment Summary Table'!$G$4:$G$33)))</f>
        <v/>
      </c>
    </row>
    <row r="50" spans="1:8" x14ac:dyDescent="0.25">
      <c r="A50" s="730" t="s">
        <v>109</v>
      </c>
      <c r="B50" s="731"/>
      <c r="C50" s="731"/>
      <c r="D50" s="731"/>
      <c r="E50" s="731"/>
      <c r="F50" s="731"/>
      <c r="G50" s="731"/>
      <c r="H50" s="732"/>
    </row>
    <row r="51" spans="1:8" x14ac:dyDescent="0.25">
      <c r="A51" s="764" t="s">
        <v>609</v>
      </c>
      <c r="B51" s="766"/>
      <c r="C51" s="210" t="s">
        <v>24</v>
      </c>
      <c r="D51" s="210" t="s">
        <v>21</v>
      </c>
      <c r="E51" s="462"/>
      <c r="H51" s="567"/>
    </row>
    <row r="52" spans="1:8" ht="17.25" x14ac:dyDescent="0.25">
      <c r="A52" s="1043" t="s">
        <v>1</v>
      </c>
      <c r="B52" s="1044"/>
      <c r="C52" s="469" t="str">
        <f>F49</f>
        <v/>
      </c>
      <c r="D52" s="473" t="s">
        <v>207</v>
      </c>
      <c r="E52" s="482" t="s">
        <v>1</v>
      </c>
      <c r="H52" s="339"/>
    </row>
    <row r="53" spans="1:8" x14ac:dyDescent="0.25">
      <c r="A53" s="1043" t="s">
        <v>93</v>
      </c>
      <c r="B53" s="1044"/>
      <c r="C53" s="467"/>
      <c r="D53" s="473" t="s">
        <v>12</v>
      </c>
      <c r="E53" s="482" t="s">
        <v>14</v>
      </c>
      <c r="H53" s="339"/>
    </row>
    <row r="54" spans="1:8" x14ac:dyDescent="0.25">
      <c r="A54" s="1043" t="s">
        <v>112</v>
      </c>
      <c r="B54" s="1044"/>
      <c r="C54" s="467"/>
      <c r="D54" s="473" t="s">
        <v>110</v>
      </c>
      <c r="E54" s="482" t="s">
        <v>15</v>
      </c>
      <c r="H54" s="339"/>
    </row>
    <row r="55" spans="1:8" x14ac:dyDescent="0.25">
      <c r="A55" s="1043" t="s">
        <v>113</v>
      </c>
      <c r="B55" s="1044"/>
      <c r="C55" s="467"/>
      <c r="D55" s="473" t="s">
        <v>12</v>
      </c>
      <c r="E55" s="482" t="s">
        <v>16</v>
      </c>
      <c r="H55" s="339"/>
    </row>
    <row r="56" spans="1:8" x14ac:dyDescent="0.25">
      <c r="A56" s="1043" t="s">
        <v>114</v>
      </c>
      <c r="B56" s="1044"/>
      <c r="C56" s="467"/>
      <c r="D56" s="473" t="s">
        <v>111</v>
      </c>
      <c r="E56" s="482" t="s">
        <v>17</v>
      </c>
      <c r="H56" s="339"/>
    </row>
    <row r="57" spans="1:8" ht="17.25" x14ac:dyDescent="0.25">
      <c r="A57" s="1043" t="s">
        <v>22</v>
      </c>
      <c r="B57" s="1044"/>
      <c r="C57" s="211" t="e">
        <f>IF(C52=0,0,C52*C53/(C54*(C55+C53)*C56))</f>
        <v>#VALUE!</v>
      </c>
      <c r="D57" s="487" t="s">
        <v>210</v>
      </c>
      <c r="E57" s="209" t="s">
        <v>20</v>
      </c>
      <c r="H57" s="339"/>
    </row>
    <row r="58" spans="1:8" x14ac:dyDescent="0.25">
      <c r="A58" s="730" t="s">
        <v>115</v>
      </c>
      <c r="B58" s="731"/>
      <c r="C58" s="731"/>
      <c r="D58" s="731"/>
      <c r="E58" s="731"/>
      <c r="F58" s="731"/>
      <c r="G58" s="731"/>
      <c r="H58" s="732"/>
    </row>
    <row r="59" spans="1:8" x14ac:dyDescent="0.25">
      <c r="A59" s="1043" t="s">
        <v>116</v>
      </c>
      <c r="B59" s="1044"/>
      <c r="C59" s="467"/>
      <c r="D59" s="474" t="s">
        <v>12</v>
      </c>
      <c r="H59" s="567"/>
    </row>
    <row r="60" spans="1:8" x14ac:dyDescent="0.25">
      <c r="A60" s="1043" t="s">
        <v>9</v>
      </c>
      <c r="B60" s="1044"/>
      <c r="C60" s="467"/>
      <c r="D60" s="474" t="s">
        <v>12</v>
      </c>
      <c r="H60" s="339"/>
    </row>
    <row r="61" spans="1:8" ht="17.25" x14ac:dyDescent="0.25">
      <c r="A61" s="1043" t="s">
        <v>476</v>
      </c>
      <c r="B61" s="1044"/>
      <c r="C61" s="466">
        <f>C60*C59</f>
        <v>0</v>
      </c>
      <c r="D61" s="474" t="s">
        <v>210</v>
      </c>
      <c r="H61" s="339"/>
    </row>
    <row r="62" spans="1:8" x14ac:dyDescent="0.25">
      <c r="A62" s="1043" t="s">
        <v>309</v>
      </c>
      <c r="B62" s="1044"/>
      <c r="C62" s="182" t="e">
        <f>IF(C52=0,0,C61*C54*(C55+C53)*C56/C53)</f>
        <v>#DIV/0!</v>
      </c>
      <c r="D62" s="474"/>
      <c r="H62" s="332"/>
    </row>
    <row r="63" spans="1:8" x14ac:dyDescent="0.25">
      <c r="A63" s="730" t="s">
        <v>32</v>
      </c>
      <c r="B63" s="731"/>
      <c r="C63" s="731"/>
      <c r="D63" s="731"/>
      <c r="E63" s="731"/>
      <c r="F63" s="731"/>
      <c r="G63" s="731"/>
      <c r="H63" s="732"/>
    </row>
    <row r="64" spans="1:8" x14ac:dyDescent="0.25">
      <c r="A64" s="1045" t="s">
        <v>394</v>
      </c>
      <c r="B64" s="1046"/>
      <c r="C64" s="213"/>
      <c r="D64" s="47"/>
      <c r="E64" s="47"/>
      <c r="F64" s="47"/>
      <c r="G64" s="47"/>
      <c r="H64" s="568"/>
    </row>
    <row r="65" spans="1:8" x14ac:dyDescent="0.25">
      <c r="A65" s="1047" t="s">
        <v>556</v>
      </c>
      <c r="B65" s="1048"/>
      <c r="C65" s="95"/>
      <c r="D65" s="569"/>
      <c r="E65" s="569"/>
      <c r="F65" s="569"/>
      <c r="G65" s="569"/>
      <c r="H65" s="570"/>
    </row>
    <row r="66" spans="1:8" x14ac:dyDescent="0.25">
      <c r="A66" s="730" t="s">
        <v>61</v>
      </c>
      <c r="B66" s="731"/>
      <c r="C66" s="731"/>
      <c r="D66" s="731"/>
      <c r="E66" s="731"/>
      <c r="F66" s="731"/>
      <c r="G66" s="731"/>
      <c r="H66" s="732"/>
    </row>
    <row r="67" spans="1:8" ht="17.25" x14ac:dyDescent="0.25">
      <c r="A67" s="460" t="s">
        <v>23</v>
      </c>
      <c r="B67" s="247" t="str">
        <f>F49</f>
        <v/>
      </c>
      <c r="C67" s="484" t="s">
        <v>249</v>
      </c>
      <c r="D67" s="927"/>
      <c r="E67" s="883"/>
      <c r="F67" s="883"/>
      <c r="G67" s="883"/>
      <c r="H67" s="884"/>
    </row>
    <row r="68" spans="1:8" ht="17.25" x14ac:dyDescent="0.25">
      <c r="A68" s="460" t="s">
        <v>470</v>
      </c>
      <c r="B68" s="247" t="str">
        <f>IF(C65="Yes",(IF(C64="A",1,0)+IF(C64="B",1,0)+IF(C64="C",0.45,0)+IF(C64="D",0.3,0))*B67,B67)</f>
        <v/>
      </c>
      <c r="C68" s="484" t="s">
        <v>249</v>
      </c>
      <c r="D68" s="927"/>
      <c r="E68" s="883"/>
      <c r="F68" s="883"/>
      <c r="G68" s="883"/>
      <c r="H68" s="884"/>
    </row>
    <row r="77" spans="1:8" s="529" customFormat="1" x14ac:dyDescent="0.25"/>
    <row r="79" spans="1:8" x14ac:dyDescent="0.25">
      <c r="A79" s="1049" t="s">
        <v>80</v>
      </c>
      <c r="B79" s="1050"/>
      <c r="C79" s="1050"/>
      <c r="D79" s="1050"/>
      <c r="E79" s="1050"/>
      <c r="F79" s="1050"/>
      <c r="G79" s="1050"/>
      <c r="H79" s="1050"/>
    </row>
    <row r="80" spans="1:8" x14ac:dyDescent="0.25">
      <c r="A80" s="565" t="s">
        <v>608</v>
      </c>
      <c r="B80" s="169" t="s">
        <v>224</v>
      </c>
      <c r="C80" s="1051" t="s">
        <v>204</v>
      </c>
      <c r="D80" s="1051"/>
      <c r="E80" s="1051"/>
      <c r="F80" s="1051"/>
      <c r="G80" s="1051"/>
      <c r="H80" s="1051"/>
    </row>
    <row r="81" spans="1:8" x14ac:dyDescent="0.25">
      <c r="B81" s="169" t="s">
        <v>1</v>
      </c>
      <c r="C81" s="1051" t="s">
        <v>555</v>
      </c>
      <c r="D81" s="1051"/>
      <c r="E81" s="1051"/>
      <c r="F81" s="1051"/>
      <c r="G81" s="1051"/>
      <c r="H81" s="1051"/>
    </row>
    <row r="82" spans="1:8" x14ac:dyDescent="0.25">
      <c r="B82" s="169" t="s">
        <v>14</v>
      </c>
      <c r="C82" s="1051" t="s">
        <v>225</v>
      </c>
      <c r="D82" s="1051"/>
      <c r="E82" s="1051"/>
      <c r="F82" s="1051"/>
      <c r="G82" s="1051"/>
      <c r="H82" s="1051"/>
    </row>
    <row r="83" spans="1:8" x14ac:dyDescent="0.25">
      <c r="B83" s="169" t="s">
        <v>200</v>
      </c>
      <c r="C83" s="1051" t="s">
        <v>226</v>
      </c>
      <c r="D83" s="1051"/>
      <c r="E83" s="1051"/>
      <c r="F83" s="1051"/>
      <c r="G83" s="1051"/>
      <c r="H83" s="1051"/>
    </row>
    <row r="84" spans="1:8" x14ac:dyDescent="0.25">
      <c r="B84" s="474"/>
      <c r="C84" s="1051" t="s">
        <v>557</v>
      </c>
      <c r="D84" s="1051"/>
      <c r="E84" s="1051"/>
      <c r="F84" s="1051"/>
      <c r="G84" s="1051"/>
      <c r="H84" s="1051"/>
    </row>
    <row r="85" spans="1:8" x14ac:dyDescent="0.25">
      <c r="B85" s="169" t="s">
        <v>16</v>
      </c>
      <c r="C85" s="1051" t="s">
        <v>227</v>
      </c>
      <c r="D85" s="1051"/>
      <c r="E85" s="1051"/>
      <c r="F85" s="1051"/>
      <c r="G85" s="1051"/>
      <c r="H85" s="1051"/>
    </row>
    <row r="86" spans="1:8" x14ac:dyDescent="0.25">
      <c r="B86" s="169" t="s">
        <v>17</v>
      </c>
      <c r="C86" s="1051" t="s">
        <v>202</v>
      </c>
      <c r="D86" s="1051"/>
      <c r="E86" s="1051"/>
      <c r="F86" s="1051"/>
      <c r="G86" s="1051"/>
      <c r="H86" s="1051"/>
    </row>
    <row r="87" spans="1:8" x14ac:dyDescent="0.25">
      <c r="B87" s="169"/>
      <c r="C87" s="571"/>
      <c r="D87" s="571"/>
      <c r="E87" s="571"/>
      <c r="F87" s="571"/>
      <c r="G87" s="571"/>
      <c r="H87" s="571"/>
    </row>
    <row r="88" spans="1:8" ht="15" customHeight="1" x14ac:dyDescent="0.25">
      <c r="A88" s="561" t="s">
        <v>600</v>
      </c>
      <c r="B88" s="562" t="str">
        <f>IF('Total WQv Calculation'!$B$3="","",'Total WQv Calculation'!$B$3)</f>
        <v/>
      </c>
      <c r="C88" s="566"/>
      <c r="D88" s="566"/>
      <c r="E88" s="566"/>
      <c r="F88" s="566"/>
      <c r="G88" s="566"/>
      <c r="H88" s="566"/>
    </row>
    <row r="89" spans="1:8" x14ac:dyDescent="0.25">
      <c r="A89" s="730" t="s">
        <v>79</v>
      </c>
      <c r="B89" s="731"/>
      <c r="C89" s="731"/>
      <c r="D89" s="731"/>
      <c r="E89" s="731"/>
      <c r="F89" s="731"/>
      <c r="G89" s="731"/>
      <c r="H89" s="732"/>
    </row>
    <row r="90" spans="1:8" ht="46.7" customHeight="1" x14ac:dyDescent="0.25">
      <c r="A90" s="504" t="s">
        <v>493</v>
      </c>
      <c r="B90" s="505" t="s">
        <v>610</v>
      </c>
      <c r="C90" s="578" t="s">
        <v>611</v>
      </c>
      <c r="D90" s="505" t="s">
        <v>612</v>
      </c>
      <c r="E90" s="505" t="s">
        <v>7</v>
      </c>
      <c r="F90" s="505" t="s">
        <v>613</v>
      </c>
      <c r="G90" s="505" t="s">
        <v>614</v>
      </c>
      <c r="H90" s="506" t="s">
        <v>29</v>
      </c>
    </row>
    <row r="91" spans="1:8" ht="30.2" customHeight="1" x14ac:dyDescent="0.25">
      <c r="A91" s="213"/>
      <c r="B91" s="61" t="str">
        <f>IF($A91="","",(LOOKUP($A91,'Catchment Summary Table'!$A$4:$A$33,'Catchment Summary Table'!$B$4:$B$33)))</f>
        <v/>
      </c>
      <c r="C91" s="61" t="str">
        <f>IF($A91="","",(LOOKUP($A91,'Catchment Summary Table'!$A$4:$A$33,'Catchment Summary Table'!$C$4:$C$33)))</f>
        <v/>
      </c>
      <c r="D91" s="61" t="str">
        <f>IF($A91="","",(LOOKUP($A91,'Catchment Summary Table'!$A$4:$A$33,'Catchment Summary Table'!$D$4:$D$33)))</f>
        <v/>
      </c>
      <c r="E91" s="61" t="str">
        <f>IF($A91="","",(LOOKUP($A91,'Catchment Summary Table'!$A$4:$A$33,'Catchment Summary Table'!$E$4:$E$33)))</f>
        <v/>
      </c>
      <c r="F91" s="61" t="str">
        <f>IF($A91="","",(LOOKUP($A91,'Catchment Summary Table'!$A$4:$A$33,'Catchment Summary Table'!$F$4:$F$33)))</f>
        <v/>
      </c>
      <c r="G91" s="448" t="str">
        <f>IF(B91="","",'Total WQv Calculation'!$B$4)</f>
        <v/>
      </c>
      <c r="H91" s="466" t="str">
        <f>IF($A91="","",(LOOKUP($A91,'Catchment Summary Table'!$A$4:$A$33,'Catchment Summary Table'!$G$4:$G$33)))</f>
        <v/>
      </c>
    </row>
    <row r="92" spans="1:8" x14ac:dyDescent="0.25">
      <c r="A92" s="730" t="s">
        <v>109</v>
      </c>
      <c r="B92" s="731"/>
      <c r="C92" s="731"/>
      <c r="D92" s="731"/>
      <c r="E92" s="731"/>
      <c r="F92" s="731"/>
      <c r="G92" s="731"/>
      <c r="H92" s="732"/>
    </row>
    <row r="93" spans="1:8" x14ac:dyDescent="0.25">
      <c r="A93" s="764" t="s">
        <v>609</v>
      </c>
      <c r="B93" s="766"/>
      <c r="C93" s="210" t="s">
        <v>24</v>
      </c>
      <c r="D93" s="210" t="s">
        <v>21</v>
      </c>
      <c r="E93" s="462"/>
      <c r="H93" s="567"/>
    </row>
    <row r="94" spans="1:8" ht="17.25" x14ac:dyDescent="0.25">
      <c r="A94" s="1043" t="s">
        <v>1</v>
      </c>
      <c r="B94" s="1044"/>
      <c r="C94" s="469" t="str">
        <f>F91</f>
        <v/>
      </c>
      <c r="D94" s="473" t="s">
        <v>207</v>
      </c>
      <c r="E94" s="482" t="s">
        <v>1</v>
      </c>
      <c r="H94" s="339"/>
    </row>
    <row r="95" spans="1:8" x14ac:dyDescent="0.25">
      <c r="A95" s="1043" t="s">
        <v>93</v>
      </c>
      <c r="B95" s="1044"/>
      <c r="C95" s="467"/>
      <c r="D95" s="473" t="s">
        <v>12</v>
      </c>
      <c r="E95" s="482" t="s">
        <v>14</v>
      </c>
      <c r="H95" s="339"/>
    </row>
    <row r="96" spans="1:8" x14ac:dyDescent="0.25">
      <c r="A96" s="1043" t="s">
        <v>112</v>
      </c>
      <c r="B96" s="1044"/>
      <c r="C96" s="467"/>
      <c r="D96" s="473" t="s">
        <v>110</v>
      </c>
      <c r="E96" s="482" t="s">
        <v>15</v>
      </c>
      <c r="H96" s="339"/>
    </row>
    <row r="97" spans="1:8" x14ac:dyDescent="0.25">
      <c r="A97" s="1043" t="s">
        <v>113</v>
      </c>
      <c r="B97" s="1044"/>
      <c r="C97" s="467"/>
      <c r="D97" s="473" t="s">
        <v>12</v>
      </c>
      <c r="E97" s="482" t="s">
        <v>16</v>
      </c>
      <c r="H97" s="339"/>
    </row>
    <row r="98" spans="1:8" x14ac:dyDescent="0.25">
      <c r="A98" s="1043" t="s">
        <v>114</v>
      </c>
      <c r="B98" s="1044"/>
      <c r="C98" s="467"/>
      <c r="D98" s="473" t="s">
        <v>111</v>
      </c>
      <c r="E98" s="482" t="s">
        <v>17</v>
      </c>
      <c r="H98" s="339"/>
    </row>
    <row r="99" spans="1:8" ht="17.25" x14ac:dyDescent="0.25">
      <c r="A99" s="1043" t="s">
        <v>22</v>
      </c>
      <c r="B99" s="1044"/>
      <c r="C99" s="211" t="e">
        <f>IF(C94=0,0,C94*C95/(C96*(C97+C95)*C98))</f>
        <v>#VALUE!</v>
      </c>
      <c r="D99" s="487" t="s">
        <v>210</v>
      </c>
      <c r="E99" s="209" t="s">
        <v>20</v>
      </c>
      <c r="H99" s="339"/>
    </row>
    <row r="100" spans="1:8" x14ac:dyDescent="0.25">
      <c r="A100" s="730" t="s">
        <v>115</v>
      </c>
      <c r="B100" s="731"/>
      <c r="C100" s="731"/>
      <c r="D100" s="731"/>
      <c r="E100" s="731"/>
      <c r="F100" s="731"/>
      <c r="G100" s="731"/>
      <c r="H100" s="732"/>
    </row>
    <row r="101" spans="1:8" x14ac:dyDescent="0.25">
      <c r="A101" s="1043" t="s">
        <v>116</v>
      </c>
      <c r="B101" s="1044"/>
      <c r="C101" s="467"/>
      <c r="D101" s="474" t="s">
        <v>12</v>
      </c>
      <c r="H101" s="567"/>
    </row>
    <row r="102" spans="1:8" x14ac:dyDescent="0.25">
      <c r="A102" s="1043" t="s">
        <v>9</v>
      </c>
      <c r="B102" s="1044"/>
      <c r="C102" s="467"/>
      <c r="D102" s="474" t="s">
        <v>12</v>
      </c>
      <c r="H102" s="339"/>
    </row>
    <row r="103" spans="1:8" ht="17.25" x14ac:dyDescent="0.25">
      <c r="A103" s="1043" t="s">
        <v>476</v>
      </c>
      <c r="B103" s="1044"/>
      <c r="C103" s="466">
        <f>C102*C101</f>
        <v>0</v>
      </c>
      <c r="D103" s="474" t="s">
        <v>210</v>
      </c>
      <c r="H103" s="339"/>
    </row>
    <row r="104" spans="1:8" x14ac:dyDescent="0.25">
      <c r="A104" s="1043" t="s">
        <v>309</v>
      </c>
      <c r="B104" s="1044"/>
      <c r="C104" s="182" t="e">
        <f>IF(C94=0,0,C103*C96*(C97+C95)*C98/C95)</f>
        <v>#DIV/0!</v>
      </c>
      <c r="D104" s="474"/>
      <c r="H104" s="332"/>
    </row>
    <row r="105" spans="1:8" x14ac:dyDescent="0.25">
      <c r="A105" s="730" t="s">
        <v>32</v>
      </c>
      <c r="B105" s="731"/>
      <c r="C105" s="731"/>
      <c r="D105" s="731"/>
      <c r="E105" s="731"/>
      <c r="F105" s="731"/>
      <c r="G105" s="731"/>
      <c r="H105" s="732"/>
    </row>
    <row r="106" spans="1:8" x14ac:dyDescent="0.25">
      <c r="A106" s="1045" t="s">
        <v>394</v>
      </c>
      <c r="B106" s="1046"/>
      <c r="C106" s="213"/>
      <c r="D106" s="47"/>
      <c r="E106" s="47"/>
      <c r="F106" s="47"/>
      <c r="G106" s="47"/>
      <c r="H106" s="568"/>
    </row>
    <row r="107" spans="1:8" x14ac:dyDescent="0.25">
      <c r="A107" s="1047" t="s">
        <v>556</v>
      </c>
      <c r="B107" s="1048"/>
      <c r="C107" s="95"/>
      <c r="D107" s="569"/>
      <c r="E107" s="569"/>
      <c r="F107" s="569"/>
      <c r="G107" s="569"/>
      <c r="H107" s="570"/>
    </row>
    <row r="108" spans="1:8" x14ac:dyDescent="0.25">
      <c r="A108" s="730" t="s">
        <v>61</v>
      </c>
      <c r="B108" s="731"/>
      <c r="C108" s="731"/>
      <c r="D108" s="731"/>
      <c r="E108" s="731"/>
      <c r="F108" s="731"/>
      <c r="G108" s="731"/>
      <c r="H108" s="732"/>
    </row>
    <row r="109" spans="1:8" ht="17.25" x14ac:dyDescent="0.25">
      <c r="A109" s="460" t="s">
        <v>23</v>
      </c>
      <c r="B109" s="247" t="str">
        <f>F91</f>
        <v/>
      </c>
      <c r="C109" s="484" t="s">
        <v>249</v>
      </c>
      <c r="D109" s="927"/>
      <c r="E109" s="883"/>
      <c r="F109" s="883"/>
      <c r="G109" s="883"/>
      <c r="H109" s="884"/>
    </row>
    <row r="110" spans="1:8" ht="17.25" x14ac:dyDescent="0.25">
      <c r="A110" s="460" t="s">
        <v>470</v>
      </c>
      <c r="B110" s="247" t="str">
        <f>IF(C107="Yes",(IF(C106="A",1,0)+IF(C106="B",1,0)+IF(C106="C",0.45,0)+IF(C106="D",0.3,0))*B109,B109)</f>
        <v/>
      </c>
      <c r="C110" s="484" t="s">
        <v>249</v>
      </c>
      <c r="D110" s="927"/>
      <c r="E110" s="883"/>
      <c r="F110" s="883"/>
      <c r="G110" s="883"/>
      <c r="H110" s="884"/>
    </row>
    <row r="120" spans="1:8" s="529" customFormat="1" x14ac:dyDescent="0.25"/>
    <row r="121" spans="1:8" x14ac:dyDescent="0.25">
      <c r="A121" s="1049" t="s">
        <v>80</v>
      </c>
      <c r="B121" s="1050"/>
      <c r="C121" s="1050"/>
      <c r="D121" s="1050"/>
      <c r="E121" s="1050"/>
      <c r="F121" s="1050"/>
      <c r="G121" s="1050"/>
      <c r="H121" s="1050"/>
    </row>
    <row r="122" spans="1:8" x14ac:dyDescent="0.25">
      <c r="A122" s="565" t="s">
        <v>608</v>
      </c>
      <c r="B122" s="169" t="s">
        <v>224</v>
      </c>
      <c r="C122" s="1051" t="s">
        <v>204</v>
      </c>
      <c r="D122" s="1051"/>
      <c r="E122" s="1051"/>
      <c r="F122" s="1051"/>
      <c r="G122" s="1051"/>
      <c r="H122" s="1051"/>
    </row>
    <row r="123" spans="1:8" x14ac:dyDescent="0.25">
      <c r="B123" s="169" t="s">
        <v>1</v>
      </c>
      <c r="C123" s="1051" t="s">
        <v>555</v>
      </c>
      <c r="D123" s="1051"/>
      <c r="E123" s="1051"/>
      <c r="F123" s="1051"/>
      <c r="G123" s="1051"/>
      <c r="H123" s="1051"/>
    </row>
    <row r="124" spans="1:8" x14ac:dyDescent="0.25">
      <c r="B124" s="169" t="s">
        <v>14</v>
      </c>
      <c r="C124" s="1051" t="s">
        <v>225</v>
      </c>
      <c r="D124" s="1051"/>
      <c r="E124" s="1051"/>
      <c r="F124" s="1051"/>
      <c r="G124" s="1051"/>
      <c r="H124" s="1051"/>
    </row>
    <row r="125" spans="1:8" x14ac:dyDescent="0.25">
      <c r="B125" s="169" t="s">
        <v>200</v>
      </c>
      <c r="C125" s="1051" t="s">
        <v>226</v>
      </c>
      <c r="D125" s="1051"/>
      <c r="E125" s="1051"/>
      <c r="F125" s="1051"/>
      <c r="G125" s="1051"/>
      <c r="H125" s="1051"/>
    </row>
    <row r="126" spans="1:8" x14ac:dyDescent="0.25">
      <c r="B126" s="474"/>
      <c r="C126" s="1051" t="s">
        <v>557</v>
      </c>
      <c r="D126" s="1051"/>
      <c r="E126" s="1051"/>
      <c r="F126" s="1051"/>
      <c r="G126" s="1051"/>
      <c r="H126" s="1051"/>
    </row>
    <row r="127" spans="1:8" x14ac:dyDescent="0.25">
      <c r="B127" s="169" t="s">
        <v>16</v>
      </c>
      <c r="C127" s="1051" t="s">
        <v>227</v>
      </c>
      <c r="D127" s="1051"/>
      <c r="E127" s="1051"/>
      <c r="F127" s="1051"/>
      <c r="G127" s="1051"/>
      <c r="H127" s="1051"/>
    </row>
    <row r="128" spans="1:8" x14ac:dyDescent="0.25">
      <c r="B128" s="169" t="s">
        <v>17</v>
      </c>
      <c r="C128" s="1051" t="s">
        <v>202</v>
      </c>
      <c r="D128" s="1051"/>
      <c r="E128" s="1051"/>
      <c r="F128" s="1051"/>
      <c r="G128" s="1051"/>
      <c r="H128" s="1051"/>
    </row>
    <row r="129" spans="1:8" x14ac:dyDescent="0.25">
      <c r="B129" s="169"/>
      <c r="C129" s="571"/>
      <c r="D129" s="571"/>
      <c r="E129" s="571"/>
      <c r="F129" s="571"/>
      <c r="G129" s="571"/>
      <c r="H129" s="571"/>
    </row>
    <row r="130" spans="1:8" ht="15" customHeight="1" x14ac:dyDescent="0.25">
      <c r="A130" s="561" t="s">
        <v>600</v>
      </c>
      <c r="B130" s="562" t="str">
        <f>IF('Total WQv Calculation'!$B$3="","",'Total WQv Calculation'!$B$3)</f>
        <v/>
      </c>
      <c r="C130" s="566"/>
      <c r="D130" s="566"/>
      <c r="E130" s="566"/>
      <c r="F130" s="566"/>
      <c r="G130" s="566"/>
      <c r="H130" s="566"/>
    </row>
    <row r="131" spans="1:8" x14ac:dyDescent="0.25">
      <c r="A131" s="730" t="s">
        <v>79</v>
      </c>
      <c r="B131" s="731"/>
      <c r="C131" s="731"/>
      <c r="D131" s="731"/>
      <c r="E131" s="731"/>
      <c r="F131" s="731"/>
      <c r="G131" s="731"/>
      <c r="H131" s="732"/>
    </row>
    <row r="132" spans="1:8" ht="46.7" customHeight="1" x14ac:dyDescent="0.25">
      <c r="A132" s="504" t="s">
        <v>493</v>
      </c>
      <c r="B132" s="505" t="s">
        <v>610</v>
      </c>
      <c r="C132" s="578" t="s">
        <v>611</v>
      </c>
      <c r="D132" s="505" t="s">
        <v>612</v>
      </c>
      <c r="E132" s="505" t="s">
        <v>7</v>
      </c>
      <c r="F132" s="505" t="s">
        <v>613</v>
      </c>
      <c r="G132" s="505" t="s">
        <v>614</v>
      </c>
      <c r="H132" s="506" t="s">
        <v>29</v>
      </c>
    </row>
    <row r="133" spans="1:8" ht="30.2" customHeight="1" x14ac:dyDescent="0.25">
      <c r="A133" s="213"/>
      <c r="B133" s="61" t="str">
        <f>IF($A133="","",(LOOKUP($A133,'Catchment Summary Table'!$A$4:$A$33,'Catchment Summary Table'!$B$4:$B$33)))</f>
        <v/>
      </c>
      <c r="C133" s="61" t="str">
        <f>IF($A133="","",(LOOKUP($A133,'Catchment Summary Table'!$A$4:$A$33,'Catchment Summary Table'!$C$4:$C$33)))</f>
        <v/>
      </c>
      <c r="D133" s="61" t="str">
        <f>IF($A133="","",(LOOKUP($A133,'Catchment Summary Table'!$A$4:$A$33,'Catchment Summary Table'!$D$4:$D$33)))</f>
        <v/>
      </c>
      <c r="E133" s="61" t="str">
        <f>IF($A133="","",(LOOKUP($A133,'Catchment Summary Table'!$A$4:$A$33,'Catchment Summary Table'!$E$4:$E$33)))</f>
        <v/>
      </c>
      <c r="F133" s="61" t="str">
        <f>IF($A133="","",(LOOKUP($A133,'Catchment Summary Table'!$A$4:$A$33,'Catchment Summary Table'!$F$4:$F$33)))</f>
        <v/>
      </c>
      <c r="G133" s="448" t="str">
        <f>IF(B133="","",'Total WQv Calculation'!$B$4)</f>
        <v/>
      </c>
      <c r="H133" s="466" t="str">
        <f>IF($A133="","",(LOOKUP($A133,'Catchment Summary Table'!$A$4:$A$33,'Catchment Summary Table'!$G$4:$G$33)))</f>
        <v/>
      </c>
    </row>
    <row r="134" spans="1:8" x14ac:dyDescent="0.25">
      <c r="A134" s="730" t="s">
        <v>109</v>
      </c>
      <c r="B134" s="731"/>
      <c r="C134" s="731"/>
      <c r="D134" s="731"/>
      <c r="E134" s="731"/>
      <c r="F134" s="731"/>
      <c r="G134" s="731"/>
      <c r="H134" s="732"/>
    </row>
    <row r="135" spans="1:8" x14ac:dyDescent="0.25">
      <c r="A135" s="764" t="s">
        <v>609</v>
      </c>
      <c r="B135" s="766"/>
      <c r="C135" s="210" t="s">
        <v>24</v>
      </c>
      <c r="D135" s="210" t="s">
        <v>21</v>
      </c>
      <c r="E135" s="462"/>
      <c r="H135" s="567"/>
    </row>
    <row r="136" spans="1:8" ht="17.25" x14ac:dyDescent="0.25">
      <c r="A136" s="1043" t="s">
        <v>1</v>
      </c>
      <c r="B136" s="1044"/>
      <c r="C136" s="469" t="str">
        <f>F133</f>
        <v/>
      </c>
      <c r="D136" s="473" t="s">
        <v>207</v>
      </c>
      <c r="E136" s="482" t="s">
        <v>1</v>
      </c>
      <c r="H136" s="339"/>
    </row>
    <row r="137" spans="1:8" x14ac:dyDescent="0.25">
      <c r="A137" s="1043" t="s">
        <v>93</v>
      </c>
      <c r="B137" s="1044"/>
      <c r="C137" s="467"/>
      <c r="D137" s="473" t="s">
        <v>12</v>
      </c>
      <c r="E137" s="482" t="s">
        <v>14</v>
      </c>
      <c r="H137" s="339"/>
    </row>
    <row r="138" spans="1:8" x14ac:dyDescent="0.25">
      <c r="A138" s="1043" t="s">
        <v>112</v>
      </c>
      <c r="B138" s="1044"/>
      <c r="C138" s="467"/>
      <c r="D138" s="473" t="s">
        <v>110</v>
      </c>
      <c r="E138" s="482" t="s">
        <v>15</v>
      </c>
      <c r="H138" s="339"/>
    </row>
    <row r="139" spans="1:8" x14ac:dyDescent="0.25">
      <c r="A139" s="1043" t="s">
        <v>113</v>
      </c>
      <c r="B139" s="1044"/>
      <c r="C139" s="467"/>
      <c r="D139" s="473" t="s">
        <v>12</v>
      </c>
      <c r="E139" s="482" t="s">
        <v>16</v>
      </c>
      <c r="H139" s="339"/>
    </row>
    <row r="140" spans="1:8" x14ac:dyDescent="0.25">
      <c r="A140" s="1043" t="s">
        <v>114</v>
      </c>
      <c r="B140" s="1044"/>
      <c r="C140" s="467"/>
      <c r="D140" s="473" t="s">
        <v>111</v>
      </c>
      <c r="E140" s="482" t="s">
        <v>17</v>
      </c>
      <c r="H140" s="339"/>
    </row>
    <row r="141" spans="1:8" ht="17.25" x14ac:dyDescent="0.25">
      <c r="A141" s="1043" t="s">
        <v>22</v>
      </c>
      <c r="B141" s="1044"/>
      <c r="C141" s="211" t="e">
        <f>IF(C136=0,0,C136*C137/(C138*(C139+C137)*C140))</f>
        <v>#VALUE!</v>
      </c>
      <c r="D141" s="487" t="s">
        <v>210</v>
      </c>
      <c r="E141" s="209" t="s">
        <v>20</v>
      </c>
      <c r="H141" s="339"/>
    </row>
    <row r="142" spans="1:8" x14ac:dyDescent="0.25">
      <c r="A142" s="730" t="s">
        <v>115</v>
      </c>
      <c r="B142" s="731"/>
      <c r="C142" s="731"/>
      <c r="D142" s="731"/>
      <c r="E142" s="731"/>
      <c r="F142" s="731"/>
      <c r="G142" s="731"/>
      <c r="H142" s="732"/>
    </row>
    <row r="143" spans="1:8" x14ac:dyDescent="0.25">
      <c r="A143" s="1043" t="s">
        <v>116</v>
      </c>
      <c r="B143" s="1044"/>
      <c r="C143" s="467"/>
      <c r="D143" s="474" t="s">
        <v>12</v>
      </c>
      <c r="H143" s="567"/>
    </row>
    <row r="144" spans="1:8" x14ac:dyDescent="0.25">
      <c r="A144" s="1043" t="s">
        <v>9</v>
      </c>
      <c r="B144" s="1044"/>
      <c r="C144" s="467"/>
      <c r="D144" s="474" t="s">
        <v>12</v>
      </c>
      <c r="H144" s="339"/>
    </row>
    <row r="145" spans="1:8" ht="17.25" x14ac:dyDescent="0.25">
      <c r="A145" s="1043" t="s">
        <v>476</v>
      </c>
      <c r="B145" s="1044"/>
      <c r="C145" s="466">
        <f>C144*C143</f>
        <v>0</v>
      </c>
      <c r="D145" s="474" t="s">
        <v>210</v>
      </c>
      <c r="H145" s="339"/>
    </row>
    <row r="146" spans="1:8" x14ac:dyDescent="0.25">
      <c r="A146" s="1043" t="s">
        <v>309</v>
      </c>
      <c r="B146" s="1044"/>
      <c r="C146" s="182" t="e">
        <f>IF(C136=0,0,C145*C138*(C139+C137)*C140/C137)</f>
        <v>#DIV/0!</v>
      </c>
      <c r="D146" s="474"/>
      <c r="H146" s="332"/>
    </row>
    <row r="147" spans="1:8" x14ac:dyDescent="0.25">
      <c r="A147" s="730" t="s">
        <v>32</v>
      </c>
      <c r="B147" s="731"/>
      <c r="C147" s="731"/>
      <c r="D147" s="731"/>
      <c r="E147" s="731"/>
      <c r="F147" s="731"/>
      <c r="G147" s="731"/>
      <c r="H147" s="732"/>
    </row>
    <row r="148" spans="1:8" x14ac:dyDescent="0.25">
      <c r="A148" s="1045" t="s">
        <v>394</v>
      </c>
      <c r="B148" s="1046"/>
      <c r="C148" s="213"/>
      <c r="D148" s="47"/>
      <c r="E148" s="47"/>
      <c r="F148" s="47"/>
      <c r="G148" s="47"/>
      <c r="H148" s="568"/>
    </row>
    <row r="149" spans="1:8" x14ac:dyDescent="0.25">
      <c r="A149" s="1047" t="s">
        <v>556</v>
      </c>
      <c r="B149" s="1048"/>
      <c r="C149" s="95"/>
      <c r="D149" s="569"/>
      <c r="E149" s="569"/>
      <c r="F149" s="569"/>
      <c r="G149" s="569"/>
      <c r="H149" s="570"/>
    </row>
    <row r="150" spans="1:8" x14ac:dyDescent="0.25">
      <c r="A150" s="730" t="s">
        <v>61</v>
      </c>
      <c r="B150" s="731"/>
      <c r="C150" s="731"/>
      <c r="D150" s="731"/>
      <c r="E150" s="731"/>
      <c r="F150" s="731"/>
      <c r="G150" s="731"/>
      <c r="H150" s="732"/>
    </row>
    <row r="151" spans="1:8" ht="17.25" x14ac:dyDescent="0.25">
      <c r="A151" s="460" t="s">
        <v>23</v>
      </c>
      <c r="B151" s="247" t="str">
        <f>F133</f>
        <v/>
      </c>
      <c r="C151" s="484" t="s">
        <v>249</v>
      </c>
      <c r="D151" s="927"/>
      <c r="E151" s="883"/>
      <c r="F151" s="883"/>
      <c r="G151" s="883"/>
      <c r="H151" s="884"/>
    </row>
    <row r="152" spans="1:8" ht="17.25" x14ac:dyDescent="0.25">
      <c r="A152" s="460" t="s">
        <v>470</v>
      </c>
      <c r="B152" s="247" t="str">
        <f>IF(C149="Yes",(IF(C148="A",1,0)+IF(C148="B",1,0)+IF(C148="C",0.45,0)+IF(C148="D",0.3,0))*B151,B151)</f>
        <v/>
      </c>
      <c r="C152" s="484" t="s">
        <v>249</v>
      </c>
      <c r="D152" s="927"/>
      <c r="E152" s="883"/>
      <c r="F152" s="883"/>
      <c r="G152" s="883"/>
      <c r="H152" s="884"/>
    </row>
  </sheetData>
  <sheetProtection password="C7D7" sheet="1" objects="1" scenarios="1" formatColumns="0" formatRows="0"/>
  <mergeCells count="112">
    <mergeCell ref="A1:H1"/>
    <mergeCell ref="A56:B56"/>
    <mergeCell ref="A57:B57"/>
    <mergeCell ref="A58:H58"/>
    <mergeCell ref="A59:B59"/>
    <mergeCell ref="A60:B60"/>
    <mergeCell ref="A61:B61"/>
    <mergeCell ref="A62:B62"/>
    <mergeCell ref="A63:H63"/>
    <mergeCell ref="C7:H7"/>
    <mergeCell ref="C8:H8"/>
    <mergeCell ref="C2:H2"/>
    <mergeCell ref="C3:H3"/>
    <mergeCell ref="C4:H4"/>
    <mergeCell ref="C5:H5"/>
    <mergeCell ref="C6:H6"/>
    <mergeCell ref="A25:B25"/>
    <mergeCell ref="A24:B24"/>
    <mergeCell ref="A23:B23"/>
    <mergeCell ref="A21:B21"/>
    <mergeCell ref="A20:B20"/>
    <mergeCell ref="A37:H37"/>
    <mergeCell ref="A30:H30"/>
    <mergeCell ref="D31:H31"/>
    <mergeCell ref="D32:H32"/>
    <mergeCell ref="A14:H14"/>
    <mergeCell ref="A27:H27"/>
    <mergeCell ref="A22:H22"/>
    <mergeCell ref="A11:H11"/>
    <mergeCell ref="A64:B64"/>
    <mergeCell ref="A29:B29"/>
    <mergeCell ref="A28:B28"/>
    <mergeCell ref="A26:B26"/>
    <mergeCell ref="C38:H38"/>
    <mergeCell ref="C39:H39"/>
    <mergeCell ref="C40:H40"/>
    <mergeCell ref="C41:H41"/>
    <mergeCell ref="C42:H42"/>
    <mergeCell ref="C43:H43"/>
    <mergeCell ref="A19:B19"/>
    <mergeCell ref="A18:B18"/>
    <mergeCell ref="A17:B17"/>
    <mergeCell ref="A16:B16"/>
    <mergeCell ref="A15:B15"/>
    <mergeCell ref="A101:B101"/>
    <mergeCell ref="A104:B104"/>
    <mergeCell ref="A105:H105"/>
    <mergeCell ref="A106:B106"/>
    <mergeCell ref="A102:B102"/>
    <mergeCell ref="A103:B103"/>
    <mergeCell ref="A65:B65"/>
    <mergeCell ref="A66:H66"/>
    <mergeCell ref="D67:H67"/>
    <mergeCell ref="D68:H68"/>
    <mergeCell ref="C82:H82"/>
    <mergeCell ref="A89:H89"/>
    <mergeCell ref="A93:B93"/>
    <mergeCell ref="A94:B94"/>
    <mergeCell ref="A95:B95"/>
    <mergeCell ref="A97:B97"/>
    <mergeCell ref="A98:B98"/>
    <mergeCell ref="A99:B99"/>
    <mergeCell ref="A79:H79"/>
    <mergeCell ref="C83:H83"/>
    <mergeCell ref="C84:H84"/>
    <mergeCell ref="C85:H85"/>
    <mergeCell ref="C86:H86"/>
    <mergeCell ref="A92:H92"/>
    <mergeCell ref="A96:B96"/>
    <mergeCell ref="A100:H100"/>
    <mergeCell ref="A51:B51"/>
    <mergeCell ref="A52:B52"/>
    <mergeCell ref="A53:B53"/>
    <mergeCell ref="A54:B54"/>
    <mergeCell ref="A55:B55"/>
    <mergeCell ref="A50:H50"/>
    <mergeCell ref="C44:H44"/>
    <mergeCell ref="A47:H47"/>
    <mergeCell ref="C80:H80"/>
    <mergeCell ref="C81:H81"/>
    <mergeCell ref="A136:B136"/>
    <mergeCell ref="A137:B137"/>
    <mergeCell ref="A138:B138"/>
    <mergeCell ref="A139:B139"/>
    <mergeCell ref="A140:B140"/>
    <mergeCell ref="A107:B107"/>
    <mergeCell ref="D109:H109"/>
    <mergeCell ref="D110:H110"/>
    <mergeCell ref="A121:H121"/>
    <mergeCell ref="C122:H122"/>
    <mergeCell ref="A134:H134"/>
    <mergeCell ref="A108:H108"/>
    <mergeCell ref="C123:H123"/>
    <mergeCell ref="C124:H124"/>
    <mergeCell ref="C125:H125"/>
    <mergeCell ref="C126:H126"/>
    <mergeCell ref="C127:H127"/>
    <mergeCell ref="C128:H128"/>
    <mergeCell ref="A131:H131"/>
    <mergeCell ref="A135:B135"/>
    <mergeCell ref="D151:H151"/>
    <mergeCell ref="D152:H152"/>
    <mergeCell ref="A146:B146"/>
    <mergeCell ref="A147:H147"/>
    <mergeCell ref="A148:B148"/>
    <mergeCell ref="A149:B149"/>
    <mergeCell ref="A150:H150"/>
    <mergeCell ref="A141:B141"/>
    <mergeCell ref="A142:H142"/>
    <mergeCell ref="A143:B143"/>
    <mergeCell ref="A144:B144"/>
    <mergeCell ref="A145:B145"/>
  </mergeCells>
  <dataValidations count="3">
    <dataValidation type="list" showInputMessage="1" showErrorMessage="1" promptTitle="Yes or No?" sqref="C149 C107 C29 C65">
      <formula1>YesNo</formula1>
    </dataValidation>
    <dataValidation type="list" allowBlank="1" showInputMessage="1" showErrorMessage="1" sqref="C148 C106 C28 C64">
      <formula1>Soil</formula1>
    </dataValidation>
    <dataValidation type="list" showInputMessage="1" showErrorMessage="1" promptTitle="Choose Area" sqref="A133 A91 A13 A49">
      <formula1>CatchNo</formula1>
    </dataValidation>
  </dataValidations>
  <pageMargins left="0.7" right="0.7" top="0.75" bottom="0.75" header="0.3" footer="0.3"/>
  <pageSetup orientation="portrait" r:id="rId1"/>
  <headerFooter>
    <oddHeader xml:space="preserve">&amp;C&amp;18Stormwater Planter Worksheet&amp;11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135"/>
  <sheetViews>
    <sheetView view="pageLayout" zoomScaleNormal="100" workbookViewId="0">
      <selection activeCell="A4" sqref="A4"/>
    </sheetView>
  </sheetViews>
  <sheetFormatPr defaultColWidth="9.140625" defaultRowHeight="15" x14ac:dyDescent="0.25"/>
  <cols>
    <col min="1" max="1" width="12.7109375" style="49" customWidth="1"/>
    <col min="2" max="3" width="11.42578125" style="49" customWidth="1"/>
    <col min="4" max="4" width="10.7109375" style="49" customWidth="1"/>
    <col min="5" max="6" width="7.5703125" style="49" customWidth="1"/>
    <col min="7" max="7" width="12.140625" style="49" customWidth="1"/>
    <col min="8" max="8" width="16" style="49" customWidth="1"/>
    <col min="9" max="9" width="30.28515625" style="49" bestFit="1" customWidth="1"/>
    <col min="10" max="16384" width="9.140625" style="49"/>
  </cols>
  <sheetData>
    <row r="1" spans="1:10" ht="15" customHeight="1" x14ac:dyDescent="0.25">
      <c r="A1" s="561" t="s">
        <v>600</v>
      </c>
      <c r="B1" s="562" t="str">
        <f>IF('Total WQv Calculation'!$B$3="","",'Total WQv Calculation'!$B$3)</f>
        <v/>
      </c>
      <c r="C1" s="471"/>
      <c r="D1" s="471"/>
      <c r="E1" s="471"/>
      <c r="F1" s="471"/>
      <c r="G1" s="471"/>
      <c r="H1" s="471"/>
      <c r="I1" s="307" t="s">
        <v>519</v>
      </c>
      <c r="J1" s="315">
        <f>SUM(D16,D55,D95,D134)</f>
        <v>0</v>
      </c>
    </row>
    <row r="2" spans="1:10" ht="15" customHeight="1" x14ac:dyDescent="0.25">
      <c r="A2" s="645" t="s">
        <v>79</v>
      </c>
      <c r="B2" s="645"/>
      <c r="C2" s="645"/>
      <c r="D2" s="645"/>
      <c r="E2" s="645"/>
      <c r="F2" s="645"/>
      <c r="G2" s="645"/>
      <c r="H2" s="645"/>
      <c r="I2" s="307" t="s">
        <v>520</v>
      </c>
      <c r="J2" s="315">
        <f>SUM(D17,D56,D96,D135)</f>
        <v>0</v>
      </c>
    </row>
    <row r="3" spans="1:10" ht="46.7" customHeight="1" x14ac:dyDescent="0.25">
      <c r="A3" s="504" t="s">
        <v>493</v>
      </c>
      <c r="B3" s="505" t="s">
        <v>610</v>
      </c>
      <c r="C3" s="578" t="s">
        <v>611</v>
      </c>
      <c r="D3" s="505" t="s">
        <v>612</v>
      </c>
      <c r="E3" s="505" t="s">
        <v>7</v>
      </c>
      <c r="F3" s="505" t="s">
        <v>613</v>
      </c>
      <c r="G3" s="505" t="s">
        <v>614</v>
      </c>
      <c r="H3" s="506" t="s">
        <v>29</v>
      </c>
    </row>
    <row r="4" spans="1:10" s="108" customFormat="1" ht="30.2" customHeight="1" x14ac:dyDescent="0.25">
      <c r="A4" s="353"/>
      <c r="B4" s="61" t="str">
        <f>IF($A4="","",(LOOKUP($A4,'Catchment Summary Table'!$A$4:$A$33,'Catchment Summary Table'!$B$4:$B$33)))</f>
        <v/>
      </c>
      <c r="C4" s="61" t="str">
        <f>IF($A4="","",(LOOKUP($A4,'Catchment Summary Table'!$A$4:$A$33,'Catchment Summary Table'!$C$4:$C$33)))</f>
        <v/>
      </c>
      <c r="D4" s="61" t="str">
        <f>IF($A4="","",(LOOKUP($A4,'Catchment Summary Table'!$A$4:$A$33,'Catchment Summary Table'!$D$4:$D$33)))</f>
        <v/>
      </c>
      <c r="E4" s="61" t="str">
        <f>IF($A4="","",(LOOKUP($A4,'Catchment Summary Table'!$A$4:$A$33,'Catchment Summary Table'!$E$4:$E$33)))</f>
        <v/>
      </c>
      <c r="F4" s="61" t="str">
        <f>IF($A4="","",(LOOKUP($A4,'Catchment Summary Table'!$A$4:$A$33,'Catchment Summary Table'!$F$4:$F$33)))</f>
        <v/>
      </c>
      <c r="G4" s="286" t="str">
        <f>IF(B4="","",IFERROR('Total WQv Calculation'!$B$4,""))</f>
        <v/>
      </c>
      <c r="H4" s="434" t="str">
        <f>IF($A4="","",(LOOKUP($A4,'Catchment Summary Table'!$A$4:$A$33,'Catchment Summary Table'!$G$4:$G$33)))</f>
        <v/>
      </c>
    </row>
    <row r="5" spans="1:10" ht="30.2" customHeight="1" x14ac:dyDescent="0.25">
      <c r="A5" s="1053" t="s">
        <v>602</v>
      </c>
      <c r="B5" s="1054"/>
      <c r="C5" s="1054"/>
      <c r="D5" s="278"/>
      <c r="E5" s="1055" t="str">
        <f>IF(D5="","",IF(D5="Area","Design practice using criteria below","Design practice using Bioretention Area or Stormwater Planter worksheets"))</f>
        <v/>
      </c>
      <c r="F5" s="1056"/>
      <c r="G5" s="1056"/>
      <c r="H5" s="1056"/>
    </row>
    <row r="6" spans="1:10" ht="15" customHeight="1" x14ac:dyDescent="0.25">
      <c r="A6" s="645" t="s">
        <v>63</v>
      </c>
      <c r="B6" s="645"/>
      <c r="C6" s="645"/>
      <c r="D6" s="645"/>
      <c r="E6" s="645"/>
      <c r="F6" s="645"/>
      <c r="G6" s="645"/>
      <c r="H6" s="645"/>
    </row>
    <row r="7" spans="1:10" ht="30.2" customHeight="1" x14ac:dyDescent="0.25">
      <c r="A7" s="844" t="s">
        <v>368</v>
      </c>
      <c r="B7" s="844"/>
      <c r="C7" s="844"/>
      <c r="D7" s="340"/>
      <c r="E7" s="167"/>
      <c r="F7" s="1052" t="str">
        <f>IF(D7="Yes", "this practice is not applicable"," ")</f>
        <v xml:space="preserve"> </v>
      </c>
      <c r="G7" s="1052"/>
      <c r="H7" s="1052"/>
    </row>
    <row r="8" spans="1:10" ht="15" customHeight="1" x14ac:dyDescent="0.25">
      <c r="A8" s="844" t="s">
        <v>502</v>
      </c>
      <c r="B8" s="844"/>
      <c r="C8" s="844"/>
      <c r="D8" s="341"/>
      <c r="E8" s="170" t="s">
        <v>12</v>
      </c>
      <c r="F8" s="814"/>
      <c r="G8" s="814"/>
      <c r="H8" s="814"/>
    </row>
    <row r="9" spans="1:10" ht="45.2" customHeight="1" x14ac:dyDescent="0.25">
      <c r="A9" s="844" t="s">
        <v>411</v>
      </c>
      <c r="B9" s="844"/>
      <c r="C9" s="844"/>
      <c r="D9" s="342">
        <f>IF(D8&lt;=16,3.14*D8^2/4/2,100)</f>
        <v>0</v>
      </c>
      <c r="E9" s="170" t="s">
        <v>232</v>
      </c>
      <c r="F9" s="814" t="s">
        <v>409</v>
      </c>
      <c r="G9" s="814"/>
      <c r="H9" s="814"/>
    </row>
    <row r="10" spans="1:10" ht="15" customHeight="1" x14ac:dyDescent="0.25">
      <c r="A10" s="844" t="s">
        <v>410</v>
      </c>
      <c r="B10" s="844"/>
      <c r="C10" s="844"/>
      <c r="D10" s="341"/>
      <c r="E10" s="170"/>
      <c r="F10" s="814"/>
      <c r="G10" s="814"/>
      <c r="H10" s="814"/>
    </row>
    <row r="11" spans="1:10" ht="15" customHeight="1" x14ac:dyDescent="0.25">
      <c r="A11" s="844" t="s">
        <v>412</v>
      </c>
      <c r="B11" s="844"/>
      <c r="C11" s="844"/>
      <c r="D11" s="343">
        <f>+D10*D9</f>
        <v>0</v>
      </c>
      <c r="E11" s="170" t="s">
        <v>232</v>
      </c>
      <c r="F11" s="814"/>
      <c r="G11" s="814"/>
      <c r="H11" s="814"/>
    </row>
    <row r="12" spans="1:10" ht="15" customHeight="1" x14ac:dyDescent="0.25">
      <c r="A12" s="844"/>
      <c r="B12" s="844"/>
      <c r="C12" s="844"/>
      <c r="D12" s="344">
        <f>+D11/43560</f>
        <v>0</v>
      </c>
      <c r="E12" s="170" t="s">
        <v>473</v>
      </c>
      <c r="F12" s="859" t="str">
        <f>IF(D4="","",IF(D12&gt;=C4,"Okay","Practice too small. Plant more trees."))</f>
        <v/>
      </c>
      <c r="G12" s="859"/>
      <c r="H12" s="859"/>
    </row>
    <row r="13" spans="1:10" ht="15" customHeight="1" x14ac:dyDescent="0.25">
      <c r="A13" s="844" t="s">
        <v>585</v>
      </c>
      <c r="B13" s="844"/>
      <c r="C13" s="844"/>
      <c r="D13" s="345" t="str">
        <f>IF(B4="","",IF(C4="","",(B4/C4)))</f>
        <v/>
      </c>
      <c r="E13" s="170"/>
      <c r="F13" s="859" t="str">
        <f>IF(D13="","",IF(D13&lt;3,"Minimum loading ratio 3:1","Okay"))</f>
        <v/>
      </c>
      <c r="G13" s="859"/>
      <c r="H13" s="859"/>
    </row>
    <row r="14" spans="1:10" ht="15" customHeight="1" x14ac:dyDescent="0.25">
      <c r="A14" s="867" t="s">
        <v>535</v>
      </c>
      <c r="B14" s="867"/>
      <c r="C14" s="867"/>
      <c r="D14" s="346"/>
      <c r="E14" s="89"/>
      <c r="F14" s="1057"/>
      <c r="G14" s="1057"/>
      <c r="H14" s="1057"/>
    </row>
    <row r="15" spans="1:10" s="165" customFormat="1" ht="15" customHeight="1" x14ac:dyDescent="0.25">
      <c r="A15" s="869" t="s">
        <v>374</v>
      </c>
      <c r="B15" s="869"/>
      <c r="C15" s="869"/>
      <c r="D15" s="869"/>
      <c r="E15" s="869"/>
      <c r="F15" s="869"/>
      <c r="G15" s="869"/>
      <c r="H15" s="869"/>
    </row>
    <row r="16" spans="1:10" s="165" customFormat="1" ht="15" customHeight="1" x14ac:dyDescent="0.25">
      <c r="A16" s="868" t="s">
        <v>377</v>
      </c>
      <c r="B16" s="868"/>
      <c r="C16" s="868"/>
      <c r="D16" s="291">
        <f>IF(D14="Yes",B4,0)</f>
        <v>0</v>
      </c>
      <c r="E16" s="1040" t="s">
        <v>566</v>
      </c>
      <c r="F16" s="1040"/>
      <c r="G16" s="1040"/>
      <c r="H16" s="1040"/>
    </row>
    <row r="17" spans="1:8" ht="15" customHeight="1" x14ac:dyDescent="0.25">
      <c r="A17" s="868" t="s">
        <v>377</v>
      </c>
      <c r="B17" s="868"/>
      <c r="C17" s="868"/>
      <c r="D17" s="291">
        <f>IF(D14="Yes",C4,0)</f>
        <v>0</v>
      </c>
      <c r="E17" s="923" t="s">
        <v>567</v>
      </c>
      <c r="F17" s="923"/>
      <c r="G17" s="923"/>
      <c r="H17" s="923"/>
    </row>
    <row r="18" spans="1:8" x14ac:dyDescent="0.25">
      <c r="A18" s="48"/>
      <c r="B18" s="48"/>
      <c r="C18" s="48"/>
      <c r="D18" s="48"/>
      <c r="E18" s="48"/>
      <c r="F18" s="48"/>
      <c r="G18" s="48"/>
      <c r="H18" s="48"/>
    </row>
    <row r="40" spans="1:8" x14ac:dyDescent="0.25">
      <c r="A40" s="561" t="s">
        <v>600</v>
      </c>
      <c r="B40" s="562" t="str">
        <f>IF('Total WQv Calculation'!$B$3="","",'Total WQv Calculation'!$B$3)</f>
        <v/>
      </c>
      <c r="C40" s="517"/>
      <c r="D40" s="517"/>
      <c r="E40" s="517"/>
      <c r="F40" s="517"/>
      <c r="G40" s="517"/>
      <c r="H40" s="517"/>
    </row>
    <row r="41" spans="1:8" x14ac:dyDescent="0.25">
      <c r="A41" s="645" t="s">
        <v>79</v>
      </c>
      <c r="B41" s="645"/>
      <c r="C41" s="645"/>
      <c r="D41" s="645"/>
      <c r="E41" s="645"/>
      <c r="F41" s="645"/>
      <c r="G41" s="645"/>
      <c r="H41" s="645"/>
    </row>
    <row r="42" spans="1:8" ht="46.7" customHeight="1" x14ac:dyDescent="0.25">
      <c r="A42" s="504" t="s">
        <v>493</v>
      </c>
      <c r="B42" s="505" t="s">
        <v>610</v>
      </c>
      <c r="C42" s="578" t="s">
        <v>611</v>
      </c>
      <c r="D42" s="505" t="s">
        <v>612</v>
      </c>
      <c r="E42" s="505" t="s">
        <v>7</v>
      </c>
      <c r="F42" s="505" t="s">
        <v>613</v>
      </c>
      <c r="G42" s="505" t="s">
        <v>614</v>
      </c>
      <c r="H42" s="506" t="s">
        <v>29</v>
      </c>
    </row>
    <row r="43" spans="1:8" x14ac:dyDescent="0.25">
      <c r="A43" s="509"/>
      <c r="B43" s="61" t="str">
        <f>IF($A43="","",(LOOKUP($A43,'Catchment Summary Table'!$A$4:$A$33,'Catchment Summary Table'!$B$4:$B$33)))</f>
        <v/>
      </c>
      <c r="C43" s="61" t="str">
        <f>IF($A43="","",(LOOKUP($A43,'Catchment Summary Table'!$A$4:$A$33,'Catchment Summary Table'!$C$4:$C$33)))</f>
        <v/>
      </c>
      <c r="D43" s="61" t="str">
        <f>IF($A43="","",(LOOKUP($A43,'Catchment Summary Table'!$A$4:$A$33,'Catchment Summary Table'!$D$4:$D$33)))</f>
        <v/>
      </c>
      <c r="E43" s="61" t="str">
        <f>IF($A43="","",(LOOKUP($A43,'Catchment Summary Table'!$A$4:$A$33,'Catchment Summary Table'!$E$4:$E$33)))</f>
        <v/>
      </c>
      <c r="F43" s="61" t="str">
        <f>IF($A43="","",(LOOKUP($A43,'Catchment Summary Table'!$A$4:$A$33,'Catchment Summary Table'!$F$4:$F$33)))</f>
        <v/>
      </c>
      <c r="G43" s="286" t="str">
        <f>IF(B43="","",IFERROR('Total WQv Calculation'!$B$4,""))</f>
        <v/>
      </c>
      <c r="H43" s="510" t="str">
        <f>IF($A43="","",(LOOKUP($A43,'Catchment Summary Table'!$A$4:$A$33,'Catchment Summary Table'!$G$4:$G$33)))</f>
        <v/>
      </c>
    </row>
    <row r="44" spans="1:8" ht="30.2" customHeight="1" x14ac:dyDescent="0.25">
      <c r="A44" s="1053" t="s">
        <v>602</v>
      </c>
      <c r="B44" s="1054"/>
      <c r="C44" s="1054"/>
      <c r="D44" s="278"/>
      <c r="E44" s="1055" t="str">
        <f>IF(D44="","",IF(D44="Area","Design practice using criteria below","Design practice using Bioretention Area or Stormwater Planter worksheets"))</f>
        <v/>
      </c>
      <c r="F44" s="1056"/>
      <c r="G44" s="1056"/>
      <c r="H44" s="1056"/>
    </row>
    <row r="45" spans="1:8" x14ac:dyDescent="0.25">
      <c r="A45" s="645" t="s">
        <v>63</v>
      </c>
      <c r="B45" s="645"/>
      <c r="C45" s="645"/>
      <c r="D45" s="645"/>
      <c r="E45" s="645"/>
      <c r="F45" s="645"/>
      <c r="G45" s="645"/>
      <c r="H45" s="645"/>
    </row>
    <row r="46" spans="1:8" ht="30.2" customHeight="1" x14ac:dyDescent="0.25">
      <c r="A46" s="844" t="s">
        <v>368</v>
      </c>
      <c r="B46" s="844"/>
      <c r="C46" s="844"/>
      <c r="D46" s="340"/>
      <c r="E46" s="508"/>
      <c r="F46" s="1052" t="str">
        <f>IF(D46="Yes", "this practice is not applicable"," ")</f>
        <v xml:space="preserve"> </v>
      </c>
      <c r="G46" s="1052"/>
      <c r="H46" s="1052"/>
    </row>
    <row r="47" spans="1:8" x14ac:dyDescent="0.25">
      <c r="A47" s="844" t="s">
        <v>502</v>
      </c>
      <c r="B47" s="844"/>
      <c r="C47" s="844"/>
      <c r="D47" s="341"/>
      <c r="E47" s="539" t="s">
        <v>12</v>
      </c>
      <c r="F47" s="814"/>
      <c r="G47" s="814"/>
      <c r="H47" s="814"/>
    </row>
    <row r="48" spans="1:8" ht="45.2" customHeight="1" x14ac:dyDescent="0.25">
      <c r="A48" s="844" t="s">
        <v>411</v>
      </c>
      <c r="B48" s="844"/>
      <c r="C48" s="844"/>
      <c r="D48" s="342">
        <f>IF(D47&lt;=16,3.14*D47^2/4/2,100)</f>
        <v>0</v>
      </c>
      <c r="E48" s="539" t="s">
        <v>232</v>
      </c>
      <c r="F48" s="814" t="s">
        <v>409</v>
      </c>
      <c r="G48" s="814"/>
      <c r="H48" s="814"/>
    </row>
    <row r="49" spans="1:8" x14ac:dyDescent="0.25">
      <c r="A49" s="844" t="s">
        <v>410</v>
      </c>
      <c r="B49" s="844"/>
      <c r="C49" s="844"/>
      <c r="D49" s="341"/>
      <c r="E49" s="539"/>
      <c r="F49" s="814"/>
      <c r="G49" s="814"/>
      <c r="H49" s="814"/>
    </row>
    <row r="50" spans="1:8" x14ac:dyDescent="0.25">
      <c r="A50" s="844" t="s">
        <v>412</v>
      </c>
      <c r="B50" s="844"/>
      <c r="C50" s="844"/>
      <c r="D50" s="343">
        <f>+D49*D48</f>
        <v>0</v>
      </c>
      <c r="E50" s="539" t="s">
        <v>232</v>
      </c>
      <c r="F50" s="814"/>
      <c r="G50" s="814"/>
      <c r="H50" s="814"/>
    </row>
    <row r="51" spans="1:8" x14ac:dyDescent="0.25">
      <c r="A51" s="844"/>
      <c r="B51" s="844"/>
      <c r="C51" s="844"/>
      <c r="D51" s="344">
        <f>+D50/43560</f>
        <v>0</v>
      </c>
      <c r="E51" s="539" t="s">
        <v>473</v>
      </c>
      <c r="F51" s="859" t="str">
        <f>IF(D43="","",IF(D51&gt;=C43,"Okay","Practice too small. Plant more trees."))</f>
        <v/>
      </c>
      <c r="G51" s="859"/>
      <c r="H51" s="859"/>
    </row>
    <row r="52" spans="1:8" x14ac:dyDescent="0.25">
      <c r="A52" s="844" t="s">
        <v>585</v>
      </c>
      <c r="B52" s="844"/>
      <c r="C52" s="844"/>
      <c r="D52" s="345" t="str">
        <f>IF(B43="","",IF(C43="","",(B43/C43)))</f>
        <v/>
      </c>
      <c r="E52" s="539"/>
      <c r="F52" s="859" t="str">
        <f>IF(D52="","",IF(D52&lt;3,"Minimum loading ratio 3:1","Okay"))</f>
        <v/>
      </c>
      <c r="G52" s="859"/>
      <c r="H52" s="859"/>
    </row>
    <row r="53" spans="1:8" x14ac:dyDescent="0.25">
      <c r="A53" s="867" t="s">
        <v>535</v>
      </c>
      <c r="B53" s="867"/>
      <c r="C53" s="867"/>
      <c r="D53" s="346"/>
      <c r="E53" s="520"/>
      <c r="F53" s="1057"/>
      <c r="G53" s="1057"/>
      <c r="H53" s="1057"/>
    </row>
    <row r="54" spans="1:8" x14ac:dyDescent="0.25">
      <c r="A54" s="869" t="s">
        <v>374</v>
      </c>
      <c r="B54" s="869"/>
      <c r="C54" s="869"/>
      <c r="D54" s="869"/>
      <c r="E54" s="869"/>
      <c r="F54" s="869"/>
      <c r="G54" s="869"/>
      <c r="H54" s="869"/>
    </row>
    <row r="55" spans="1:8" x14ac:dyDescent="0.25">
      <c r="A55" s="868" t="s">
        <v>377</v>
      </c>
      <c r="B55" s="868"/>
      <c r="C55" s="868"/>
      <c r="D55" s="291">
        <f>IF(D53="Yes",B43,0)</f>
        <v>0</v>
      </c>
      <c r="E55" s="1040" t="s">
        <v>566</v>
      </c>
      <c r="F55" s="1040"/>
      <c r="G55" s="1040"/>
      <c r="H55" s="1040"/>
    </row>
    <row r="56" spans="1:8" x14ac:dyDescent="0.25">
      <c r="A56" s="868" t="s">
        <v>377</v>
      </c>
      <c r="B56" s="868"/>
      <c r="C56" s="868"/>
      <c r="D56" s="291">
        <f>IF(D53="Yes",C43,0)</f>
        <v>0</v>
      </c>
      <c r="E56" s="923" t="s">
        <v>567</v>
      </c>
      <c r="F56" s="923"/>
      <c r="G56" s="923"/>
      <c r="H56" s="923"/>
    </row>
    <row r="80" spans="1:8" x14ac:dyDescent="0.25">
      <c r="A80" s="561" t="s">
        <v>600</v>
      </c>
      <c r="B80" s="562" t="str">
        <f>IF('Total WQv Calculation'!$B$3="","",'Total WQv Calculation'!$B$3)</f>
        <v/>
      </c>
      <c r="C80" s="517"/>
      <c r="D80" s="517"/>
      <c r="E80" s="517"/>
      <c r="F80" s="517"/>
      <c r="G80" s="517"/>
      <c r="H80" s="517"/>
    </row>
    <row r="81" spans="1:8" x14ac:dyDescent="0.25">
      <c r="A81" s="645" t="s">
        <v>79</v>
      </c>
      <c r="B81" s="645"/>
      <c r="C81" s="645"/>
      <c r="D81" s="645"/>
      <c r="E81" s="645"/>
      <c r="F81" s="645"/>
      <c r="G81" s="645"/>
      <c r="H81" s="645"/>
    </row>
    <row r="82" spans="1:8" ht="46.7" customHeight="1" x14ac:dyDescent="0.25">
      <c r="A82" s="504" t="s">
        <v>493</v>
      </c>
      <c r="B82" s="505" t="s">
        <v>610</v>
      </c>
      <c r="C82" s="578" t="s">
        <v>611</v>
      </c>
      <c r="D82" s="505" t="s">
        <v>612</v>
      </c>
      <c r="E82" s="505" t="s">
        <v>7</v>
      </c>
      <c r="F82" s="505" t="s">
        <v>613</v>
      </c>
      <c r="G82" s="505" t="s">
        <v>614</v>
      </c>
      <c r="H82" s="506" t="s">
        <v>29</v>
      </c>
    </row>
    <row r="83" spans="1:8" ht="30.2" customHeight="1" x14ac:dyDescent="0.25">
      <c r="A83" s="509"/>
      <c r="B83" s="61" t="str">
        <f>IF($A83="","",(LOOKUP($A83,'Catchment Summary Table'!$A$4:$A$33,'Catchment Summary Table'!$B$4:$B$33)))</f>
        <v/>
      </c>
      <c r="C83" s="61" t="str">
        <f>IF($A83="","",(LOOKUP($A83,'Catchment Summary Table'!$A$4:$A$33,'Catchment Summary Table'!$C$4:$C$33)))</f>
        <v/>
      </c>
      <c r="D83" s="61" t="str">
        <f>IF($A83="","",(LOOKUP($A83,'Catchment Summary Table'!$A$4:$A$33,'Catchment Summary Table'!$D$4:$D$33)))</f>
        <v/>
      </c>
      <c r="E83" s="61" t="str">
        <f>IF($A83="","",(LOOKUP($A83,'Catchment Summary Table'!$A$4:$A$33,'Catchment Summary Table'!$E$4:$E$33)))</f>
        <v/>
      </c>
      <c r="F83" s="61" t="str">
        <f>IF($A83="","",(LOOKUP($A83,'Catchment Summary Table'!$A$4:$A$33,'Catchment Summary Table'!$F$4:$F$33)))</f>
        <v/>
      </c>
      <c r="G83" s="286" t="str">
        <f>IF(B83="","",IFERROR('Total WQv Calculation'!$B$4,""))</f>
        <v/>
      </c>
      <c r="H83" s="510" t="str">
        <f>IF($A83="","",(LOOKUP($A83,'Catchment Summary Table'!$A$4:$A$33,'Catchment Summary Table'!$G$4:$G$33)))</f>
        <v/>
      </c>
    </row>
    <row r="84" spans="1:8" ht="30.2" customHeight="1" x14ac:dyDescent="0.25">
      <c r="A84" s="1053" t="s">
        <v>602</v>
      </c>
      <c r="B84" s="1054"/>
      <c r="C84" s="1054"/>
      <c r="D84" s="278"/>
      <c r="E84" s="1055" t="str">
        <f>IF(D84="","",IF(D84="Area","Design practice using criteria below","Design practice using Bioretention Area or Stormwater Planter worksheets"))</f>
        <v/>
      </c>
      <c r="F84" s="1056"/>
      <c r="G84" s="1056"/>
      <c r="H84" s="1056"/>
    </row>
    <row r="85" spans="1:8" x14ac:dyDescent="0.25">
      <c r="A85" s="645" t="s">
        <v>63</v>
      </c>
      <c r="B85" s="645"/>
      <c r="C85" s="645"/>
      <c r="D85" s="645"/>
      <c r="E85" s="645"/>
      <c r="F85" s="645"/>
      <c r="G85" s="645"/>
      <c r="H85" s="645"/>
    </row>
    <row r="86" spans="1:8" ht="30.2" customHeight="1" x14ac:dyDescent="0.25">
      <c r="A86" s="844" t="s">
        <v>368</v>
      </c>
      <c r="B86" s="844"/>
      <c r="C86" s="844"/>
      <c r="D86" s="340"/>
      <c r="E86" s="508"/>
      <c r="F86" s="1052" t="str">
        <f>IF(D86="Yes", "this practice is not applicable"," ")</f>
        <v xml:space="preserve"> </v>
      </c>
      <c r="G86" s="1052"/>
      <c r="H86" s="1052"/>
    </row>
    <row r="87" spans="1:8" x14ac:dyDescent="0.25">
      <c r="A87" s="844" t="s">
        <v>502</v>
      </c>
      <c r="B87" s="844"/>
      <c r="C87" s="844"/>
      <c r="D87" s="341"/>
      <c r="E87" s="539" t="s">
        <v>12</v>
      </c>
      <c r="F87" s="814"/>
      <c r="G87" s="814"/>
      <c r="H87" s="814"/>
    </row>
    <row r="88" spans="1:8" ht="45.2" customHeight="1" x14ac:dyDescent="0.25">
      <c r="A88" s="844" t="s">
        <v>411</v>
      </c>
      <c r="B88" s="844"/>
      <c r="C88" s="844"/>
      <c r="D88" s="342">
        <f>IF(D87&lt;=16,3.14*D87^2/4/2,100)</f>
        <v>0</v>
      </c>
      <c r="E88" s="539" t="s">
        <v>232</v>
      </c>
      <c r="F88" s="814" t="s">
        <v>409</v>
      </c>
      <c r="G88" s="814"/>
      <c r="H88" s="814"/>
    </row>
    <row r="89" spans="1:8" x14ac:dyDescent="0.25">
      <c r="A89" s="844" t="s">
        <v>410</v>
      </c>
      <c r="B89" s="844"/>
      <c r="C89" s="844"/>
      <c r="D89" s="341"/>
      <c r="E89" s="539"/>
      <c r="F89" s="814"/>
      <c r="G89" s="814"/>
      <c r="H89" s="814"/>
    </row>
    <row r="90" spans="1:8" x14ac:dyDescent="0.25">
      <c r="A90" s="844" t="s">
        <v>412</v>
      </c>
      <c r="B90" s="844"/>
      <c r="C90" s="844"/>
      <c r="D90" s="343">
        <f>+D89*D88</f>
        <v>0</v>
      </c>
      <c r="E90" s="539" t="s">
        <v>232</v>
      </c>
      <c r="F90" s="814"/>
      <c r="G90" s="814"/>
      <c r="H90" s="814"/>
    </row>
    <row r="91" spans="1:8" x14ac:dyDescent="0.25">
      <c r="A91" s="844"/>
      <c r="B91" s="844"/>
      <c r="C91" s="844"/>
      <c r="D91" s="344">
        <f>+D90/43560</f>
        <v>0</v>
      </c>
      <c r="E91" s="539" t="s">
        <v>473</v>
      </c>
      <c r="F91" s="859" t="str">
        <f>IF(D83="","",IF(D91&gt;=C83,"Okay","Practice too small. Plant more trees."))</f>
        <v/>
      </c>
      <c r="G91" s="859"/>
      <c r="H91" s="859"/>
    </row>
    <row r="92" spans="1:8" x14ac:dyDescent="0.25">
      <c r="A92" s="844" t="s">
        <v>585</v>
      </c>
      <c r="B92" s="844"/>
      <c r="C92" s="844"/>
      <c r="D92" s="345" t="str">
        <f>IF(B83="","",IF(C83="","",(B83/C83)))</f>
        <v/>
      </c>
      <c r="E92" s="539"/>
      <c r="F92" s="859" t="str">
        <f>IF(D92="","",IF(D92&lt;3,"Minimum loading ratio 3:1","Okay"))</f>
        <v/>
      </c>
      <c r="G92" s="859"/>
      <c r="H92" s="859"/>
    </row>
    <row r="93" spans="1:8" x14ac:dyDescent="0.25">
      <c r="A93" s="867" t="s">
        <v>535</v>
      </c>
      <c r="B93" s="867"/>
      <c r="C93" s="867"/>
      <c r="D93" s="346"/>
      <c r="E93" s="520"/>
      <c r="F93" s="1057"/>
      <c r="G93" s="1057"/>
      <c r="H93" s="1057"/>
    </row>
    <row r="94" spans="1:8" x14ac:dyDescent="0.25">
      <c r="A94" s="869" t="s">
        <v>374</v>
      </c>
      <c r="B94" s="869"/>
      <c r="C94" s="869"/>
      <c r="D94" s="869"/>
      <c r="E94" s="869"/>
      <c r="F94" s="869"/>
      <c r="G94" s="869"/>
      <c r="H94" s="869"/>
    </row>
    <row r="95" spans="1:8" x14ac:dyDescent="0.25">
      <c r="A95" s="868" t="s">
        <v>377</v>
      </c>
      <c r="B95" s="868"/>
      <c r="C95" s="868"/>
      <c r="D95" s="291">
        <f>IF(D93="Yes",B83,0)</f>
        <v>0</v>
      </c>
      <c r="E95" s="1040" t="s">
        <v>566</v>
      </c>
      <c r="F95" s="1040"/>
      <c r="G95" s="1040"/>
      <c r="H95" s="1040"/>
    </row>
    <row r="96" spans="1:8" x14ac:dyDescent="0.25">
      <c r="A96" s="868" t="s">
        <v>377</v>
      </c>
      <c r="B96" s="868"/>
      <c r="C96" s="868"/>
      <c r="D96" s="291">
        <f>IF(D93="Yes",C83,0)</f>
        <v>0</v>
      </c>
      <c r="E96" s="923" t="s">
        <v>567</v>
      </c>
      <c r="F96" s="923"/>
      <c r="G96" s="923"/>
      <c r="H96" s="923"/>
    </row>
    <row r="114" spans="1:8" s="517" customFormat="1" x14ac:dyDescent="0.25"/>
    <row r="115" spans="1:8" s="517" customFormat="1" x14ac:dyDescent="0.25"/>
    <row r="116" spans="1:8" s="517" customFormat="1" x14ac:dyDescent="0.25"/>
    <row r="117" spans="1:8" s="517" customFormat="1" x14ac:dyDescent="0.25"/>
    <row r="118" spans="1:8" s="517" customFormat="1" x14ac:dyDescent="0.25"/>
    <row r="119" spans="1:8" x14ac:dyDescent="0.25">
      <c r="A119" s="561" t="s">
        <v>600</v>
      </c>
      <c r="B119" s="562" t="str">
        <f>IF('Total WQv Calculation'!$B$3="","",'Total WQv Calculation'!$B$3)</f>
        <v/>
      </c>
      <c r="C119" s="517"/>
      <c r="D119" s="517"/>
      <c r="E119" s="517"/>
      <c r="F119" s="517"/>
      <c r="G119" s="517"/>
      <c r="H119" s="517"/>
    </row>
    <row r="120" spans="1:8" x14ac:dyDescent="0.25">
      <c r="A120" s="645" t="s">
        <v>79</v>
      </c>
      <c r="B120" s="645"/>
      <c r="C120" s="645"/>
      <c r="D120" s="645"/>
      <c r="E120" s="645"/>
      <c r="F120" s="645"/>
      <c r="G120" s="645"/>
      <c r="H120" s="645"/>
    </row>
    <row r="121" spans="1:8" ht="46.7" customHeight="1" x14ac:dyDescent="0.25">
      <c r="A121" s="504" t="s">
        <v>493</v>
      </c>
      <c r="B121" s="505" t="s">
        <v>610</v>
      </c>
      <c r="C121" s="578" t="s">
        <v>611</v>
      </c>
      <c r="D121" s="505" t="s">
        <v>612</v>
      </c>
      <c r="E121" s="505" t="s">
        <v>7</v>
      </c>
      <c r="F121" s="505" t="s">
        <v>613</v>
      </c>
      <c r="G121" s="505" t="s">
        <v>614</v>
      </c>
      <c r="H121" s="506" t="s">
        <v>29</v>
      </c>
    </row>
    <row r="122" spans="1:8" ht="30.2" customHeight="1" x14ac:dyDescent="0.25">
      <c r="A122" s="509"/>
      <c r="B122" s="61" t="str">
        <f>IF($A122="","",(LOOKUP($A122,'Catchment Summary Table'!$A$4:$A$33,'Catchment Summary Table'!$B$4:$B$33)))</f>
        <v/>
      </c>
      <c r="C122" s="61" t="str">
        <f>IF($A122="","",(LOOKUP($A122,'Catchment Summary Table'!$A$4:$A$33,'Catchment Summary Table'!$C$4:$C$33)))</f>
        <v/>
      </c>
      <c r="D122" s="61" t="str">
        <f>IF($A122="","",(LOOKUP($A122,'Catchment Summary Table'!$A$4:$A$33,'Catchment Summary Table'!$D$4:$D$33)))</f>
        <v/>
      </c>
      <c r="E122" s="61" t="str">
        <f>IF($A122="","",(LOOKUP($A122,'Catchment Summary Table'!$A$4:$A$33,'Catchment Summary Table'!$E$4:$E$33)))</f>
        <v/>
      </c>
      <c r="F122" s="61" t="str">
        <f>IF($A122="","",(LOOKUP($A122,'Catchment Summary Table'!$A$4:$A$33,'Catchment Summary Table'!$F$4:$F$33)))</f>
        <v/>
      </c>
      <c r="G122" s="286" t="str">
        <f>IF(B122="","",IFERROR('Total WQv Calculation'!$B$4,""))</f>
        <v/>
      </c>
      <c r="H122" s="510" t="str">
        <f>IF($A122="","",(LOOKUP($A122,'Catchment Summary Table'!$A$4:$A$33,'Catchment Summary Table'!$G$4:$G$33)))</f>
        <v/>
      </c>
    </row>
    <row r="123" spans="1:8" ht="30.2" customHeight="1" x14ac:dyDescent="0.25">
      <c r="A123" s="1053" t="s">
        <v>602</v>
      </c>
      <c r="B123" s="1054"/>
      <c r="C123" s="1054"/>
      <c r="D123" s="278"/>
      <c r="E123" s="1055" t="str">
        <f>IF(D123="","",IF(D123="Area","Design practice using criteria below","Design practice using Bioretention Area or Stormwater Planter worksheets"))</f>
        <v/>
      </c>
      <c r="F123" s="1056"/>
      <c r="G123" s="1056"/>
      <c r="H123" s="1056"/>
    </row>
    <row r="124" spans="1:8" x14ac:dyDescent="0.25">
      <c r="A124" s="645" t="s">
        <v>63</v>
      </c>
      <c r="B124" s="645"/>
      <c r="C124" s="645"/>
      <c r="D124" s="645"/>
      <c r="E124" s="645"/>
      <c r="F124" s="645"/>
      <c r="G124" s="645"/>
      <c r="H124" s="645"/>
    </row>
    <row r="125" spans="1:8" ht="30.2" customHeight="1" x14ac:dyDescent="0.25">
      <c r="A125" s="844" t="s">
        <v>368</v>
      </c>
      <c r="B125" s="844"/>
      <c r="C125" s="844"/>
      <c r="D125" s="340"/>
      <c r="E125" s="508"/>
      <c r="F125" s="1052" t="str">
        <f>IF(D125="Yes", "this practice is not applicable"," ")</f>
        <v xml:space="preserve"> </v>
      </c>
      <c r="G125" s="1052"/>
      <c r="H125" s="1052"/>
    </row>
    <row r="126" spans="1:8" x14ac:dyDescent="0.25">
      <c r="A126" s="844" t="s">
        <v>502</v>
      </c>
      <c r="B126" s="844"/>
      <c r="C126" s="844"/>
      <c r="D126" s="341"/>
      <c r="E126" s="539" t="s">
        <v>12</v>
      </c>
      <c r="F126" s="814"/>
      <c r="G126" s="814"/>
      <c r="H126" s="814"/>
    </row>
    <row r="127" spans="1:8" ht="45.2" customHeight="1" x14ac:dyDescent="0.25">
      <c r="A127" s="844" t="s">
        <v>411</v>
      </c>
      <c r="B127" s="844"/>
      <c r="C127" s="844"/>
      <c r="D127" s="342">
        <f>IF(D126&lt;=16,3.14*D126^2/4/2,100)</f>
        <v>0</v>
      </c>
      <c r="E127" s="539" t="s">
        <v>232</v>
      </c>
      <c r="F127" s="814" t="s">
        <v>409</v>
      </c>
      <c r="G127" s="814"/>
      <c r="H127" s="814"/>
    </row>
    <row r="128" spans="1:8" x14ac:dyDescent="0.25">
      <c r="A128" s="844" t="s">
        <v>410</v>
      </c>
      <c r="B128" s="844"/>
      <c r="C128" s="844"/>
      <c r="D128" s="341"/>
      <c r="E128" s="539"/>
      <c r="F128" s="814"/>
      <c r="G128" s="814"/>
      <c r="H128" s="814"/>
    </row>
    <row r="129" spans="1:8" x14ac:dyDescent="0.25">
      <c r="A129" s="844" t="s">
        <v>412</v>
      </c>
      <c r="B129" s="844"/>
      <c r="C129" s="844"/>
      <c r="D129" s="343">
        <f>+D128*D127</f>
        <v>0</v>
      </c>
      <c r="E129" s="539" t="s">
        <v>232</v>
      </c>
      <c r="F129" s="814"/>
      <c r="G129" s="814"/>
      <c r="H129" s="814"/>
    </row>
    <row r="130" spans="1:8" x14ac:dyDescent="0.25">
      <c r="A130" s="844"/>
      <c r="B130" s="844"/>
      <c r="C130" s="844"/>
      <c r="D130" s="344">
        <f>+D129/43560</f>
        <v>0</v>
      </c>
      <c r="E130" s="539" t="s">
        <v>473</v>
      </c>
      <c r="F130" s="859" t="str">
        <f>IF(D122="","",IF(D130&gt;=C122,"Okay","Practice too small. Plant more trees."))</f>
        <v/>
      </c>
      <c r="G130" s="859"/>
      <c r="H130" s="859"/>
    </row>
    <row r="131" spans="1:8" x14ac:dyDescent="0.25">
      <c r="A131" s="844" t="s">
        <v>585</v>
      </c>
      <c r="B131" s="844"/>
      <c r="C131" s="844"/>
      <c r="D131" s="345" t="str">
        <f>IF(B122="","",IF(C122="","",(B122/C122)))</f>
        <v/>
      </c>
      <c r="E131" s="539"/>
      <c r="F131" s="859" t="str">
        <f>IF(D131="","",IF(D131&lt;3,"Minimum loading ratio 3:1","Okay"))</f>
        <v/>
      </c>
      <c r="G131" s="859"/>
      <c r="H131" s="859"/>
    </row>
    <row r="132" spans="1:8" x14ac:dyDescent="0.25">
      <c r="A132" s="867" t="s">
        <v>535</v>
      </c>
      <c r="B132" s="867"/>
      <c r="C132" s="867"/>
      <c r="D132" s="346"/>
      <c r="E132" s="520"/>
      <c r="F132" s="1057"/>
      <c r="G132" s="1057"/>
      <c r="H132" s="1057"/>
    </row>
    <row r="133" spans="1:8" x14ac:dyDescent="0.25">
      <c r="A133" s="869" t="s">
        <v>374</v>
      </c>
      <c r="B133" s="869"/>
      <c r="C133" s="869"/>
      <c r="D133" s="869"/>
      <c r="E133" s="869"/>
      <c r="F133" s="869"/>
      <c r="G133" s="869"/>
      <c r="H133" s="869"/>
    </row>
    <row r="134" spans="1:8" x14ac:dyDescent="0.25">
      <c r="A134" s="868" t="s">
        <v>377</v>
      </c>
      <c r="B134" s="868"/>
      <c r="C134" s="868"/>
      <c r="D134" s="291">
        <f>IF(D132="Yes",B122,0)</f>
        <v>0</v>
      </c>
      <c r="E134" s="1040" t="s">
        <v>566</v>
      </c>
      <c r="F134" s="1040"/>
      <c r="G134" s="1040"/>
      <c r="H134" s="1040"/>
    </row>
    <row r="135" spans="1:8" x14ac:dyDescent="0.25">
      <c r="A135" s="868" t="s">
        <v>377</v>
      </c>
      <c r="B135" s="868"/>
      <c r="C135" s="868"/>
      <c r="D135" s="291">
        <f>IF(D132="Yes",C122,0)</f>
        <v>0</v>
      </c>
      <c r="E135" s="923" t="s">
        <v>567</v>
      </c>
      <c r="F135" s="923"/>
      <c r="G135" s="923"/>
      <c r="H135" s="923"/>
    </row>
  </sheetData>
  <sheetProtection password="C7D7" sheet="1" objects="1" scenarios="1" formatColumns="0" formatRows="0"/>
  <mergeCells count="96">
    <mergeCell ref="A135:C135"/>
    <mergeCell ref="E135:H135"/>
    <mergeCell ref="A132:C132"/>
    <mergeCell ref="F132:H132"/>
    <mergeCell ref="A133:H133"/>
    <mergeCell ref="A134:C134"/>
    <mergeCell ref="E134:H134"/>
    <mergeCell ref="A129:C130"/>
    <mergeCell ref="F129:H129"/>
    <mergeCell ref="F130:H130"/>
    <mergeCell ref="A131:C131"/>
    <mergeCell ref="F131:H131"/>
    <mergeCell ref="A126:C126"/>
    <mergeCell ref="F126:H126"/>
    <mergeCell ref="A127:C127"/>
    <mergeCell ref="F127:H127"/>
    <mergeCell ref="A128:C128"/>
    <mergeCell ref="F128:H128"/>
    <mergeCell ref="A123:C123"/>
    <mergeCell ref="E123:H123"/>
    <mergeCell ref="A124:H124"/>
    <mergeCell ref="A125:C125"/>
    <mergeCell ref="F125:H125"/>
    <mergeCell ref="A95:C95"/>
    <mergeCell ref="E95:H95"/>
    <mergeCell ref="A96:C96"/>
    <mergeCell ref="E96:H96"/>
    <mergeCell ref="A120:H120"/>
    <mergeCell ref="A92:C92"/>
    <mergeCell ref="F92:H92"/>
    <mergeCell ref="A93:C93"/>
    <mergeCell ref="F93:H93"/>
    <mergeCell ref="A94:H94"/>
    <mergeCell ref="A88:C88"/>
    <mergeCell ref="F88:H88"/>
    <mergeCell ref="A89:C89"/>
    <mergeCell ref="F89:H89"/>
    <mergeCell ref="A90:C91"/>
    <mergeCell ref="F90:H90"/>
    <mergeCell ref="F91:H91"/>
    <mergeCell ref="A85:H85"/>
    <mergeCell ref="A86:C86"/>
    <mergeCell ref="F86:H86"/>
    <mergeCell ref="A87:C87"/>
    <mergeCell ref="F87:H87"/>
    <mergeCell ref="A56:C56"/>
    <mergeCell ref="E56:H56"/>
    <mergeCell ref="A81:H81"/>
    <mergeCell ref="A84:C84"/>
    <mergeCell ref="E84:H84"/>
    <mergeCell ref="A53:C53"/>
    <mergeCell ref="F53:H53"/>
    <mergeCell ref="A54:H54"/>
    <mergeCell ref="A55:C55"/>
    <mergeCell ref="E55:H55"/>
    <mergeCell ref="A50:C51"/>
    <mergeCell ref="F50:H50"/>
    <mergeCell ref="F51:H51"/>
    <mergeCell ref="A52:C52"/>
    <mergeCell ref="F52:H52"/>
    <mergeCell ref="A47:C47"/>
    <mergeCell ref="F47:H47"/>
    <mergeCell ref="A48:C48"/>
    <mergeCell ref="F48:H48"/>
    <mergeCell ref="A49:C49"/>
    <mergeCell ref="F49:H49"/>
    <mergeCell ref="A41:H41"/>
    <mergeCell ref="A44:C44"/>
    <mergeCell ref="E44:H44"/>
    <mergeCell ref="A45:H45"/>
    <mergeCell ref="A46:C46"/>
    <mergeCell ref="F46:H46"/>
    <mergeCell ref="F11:H11"/>
    <mergeCell ref="F12:H12"/>
    <mergeCell ref="A13:C13"/>
    <mergeCell ref="A17:C17"/>
    <mergeCell ref="E17:H17"/>
    <mergeCell ref="A11:C12"/>
    <mergeCell ref="F14:H14"/>
    <mergeCell ref="F13:H13"/>
    <mergeCell ref="A14:C14"/>
    <mergeCell ref="A16:C16"/>
    <mergeCell ref="E16:H16"/>
    <mergeCell ref="A15:H15"/>
    <mergeCell ref="A8:C8"/>
    <mergeCell ref="F8:H8"/>
    <mergeCell ref="A9:C9"/>
    <mergeCell ref="F9:H9"/>
    <mergeCell ref="A10:C10"/>
    <mergeCell ref="F10:H10"/>
    <mergeCell ref="A2:H2"/>
    <mergeCell ref="A6:H6"/>
    <mergeCell ref="A7:C7"/>
    <mergeCell ref="F7:H7"/>
    <mergeCell ref="A5:C5"/>
    <mergeCell ref="E5:H5"/>
  </mergeCells>
  <dataValidations count="3">
    <dataValidation type="list" showInputMessage="1" showErrorMessage="1" promptTitle="Yes or No?" sqref="D132 D125 D46 D53 D14 D7 D93 D86">
      <formula1>YesNo</formula1>
    </dataValidation>
    <dataValidation type="list" showInputMessage="1" showErrorMessage="1" promptTitle="Choose Area" sqref="A122 A43 A4 A83">
      <formula1>CatchNo</formula1>
    </dataValidation>
    <dataValidation type="list" allowBlank="1" showInputMessage="1" showErrorMessage="1" sqref="D123 D44 D5 D84">
      <formula1>Tree</formula1>
    </dataValidation>
  </dataValidations>
  <pageMargins left="0.7" right="0.7" top="0.75" bottom="0.75" header="0.3" footer="0.3"/>
  <pageSetup orientation="portrait" r:id="rId1"/>
  <headerFooter>
    <oddHeader>&amp;C&amp;18Tree Planting/Tree Pits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63"/>
  <sheetViews>
    <sheetView view="pageLayout" zoomScaleNormal="100" workbookViewId="0">
      <selection activeCell="A4" sqref="A4"/>
    </sheetView>
  </sheetViews>
  <sheetFormatPr defaultColWidth="9.140625" defaultRowHeight="15" x14ac:dyDescent="0.25"/>
  <cols>
    <col min="1" max="1" width="12.7109375" style="4" customWidth="1"/>
    <col min="2" max="3" width="11.42578125" style="4" customWidth="1"/>
    <col min="4" max="4" width="10.7109375" style="4" customWidth="1"/>
    <col min="5" max="6" width="7.5703125" style="4" customWidth="1"/>
    <col min="7" max="7" width="12.140625" style="4" customWidth="1"/>
    <col min="8" max="8" width="14" style="4" customWidth="1"/>
    <col min="9" max="9" width="21.42578125" style="4" bestFit="1" customWidth="1"/>
    <col min="10" max="10" width="11.42578125" style="4" bestFit="1" customWidth="1"/>
    <col min="11" max="16384" width="9.140625" style="4"/>
  </cols>
  <sheetData>
    <row r="1" spans="1:10" x14ac:dyDescent="0.25">
      <c r="A1" s="561" t="s">
        <v>600</v>
      </c>
      <c r="B1" s="562" t="str">
        <f>IF('Total WQv Calculation'!$B$3="","",'Total WQv Calculation'!$B$3)</f>
        <v/>
      </c>
      <c r="C1" s="164"/>
      <c r="D1" s="164"/>
      <c r="E1" s="164"/>
      <c r="F1" s="164"/>
      <c r="G1" s="164"/>
      <c r="H1" s="164"/>
      <c r="I1" s="306" t="s">
        <v>517</v>
      </c>
      <c r="J1" s="311">
        <f>SUM(D39,D80,D121,D162)</f>
        <v>0</v>
      </c>
    </row>
    <row r="2" spans="1:10" ht="15" customHeight="1" x14ac:dyDescent="0.25">
      <c r="A2" s="645" t="s">
        <v>79</v>
      </c>
      <c r="B2" s="645"/>
      <c r="C2" s="645"/>
      <c r="D2" s="645"/>
      <c r="E2" s="645"/>
      <c r="F2" s="645"/>
      <c r="G2" s="645"/>
      <c r="H2" s="645"/>
      <c r="I2" s="306" t="s">
        <v>5</v>
      </c>
      <c r="J2" s="311">
        <f>SUM(B4,B45,B86,B127)</f>
        <v>0</v>
      </c>
    </row>
    <row r="3" spans="1:10" ht="46.7" customHeight="1" x14ac:dyDescent="0.25">
      <c r="A3" s="504" t="s">
        <v>493</v>
      </c>
      <c r="B3" s="505" t="s">
        <v>610</v>
      </c>
      <c r="C3" s="578" t="s">
        <v>611</v>
      </c>
      <c r="D3" s="505" t="s">
        <v>612</v>
      </c>
      <c r="E3" s="505" t="s">
        <v>7</v>
      </c>
      <c r="F3" s="505" t="s">
        <v>613</v>
      </c>
      <c r="G3" s="505" t="s">
        <v>614</v>
      </c>
      <c r="H3" s="506" t="s">
        <v>29</v>
      </c>
      <c r="I3" s="306" t="s">
        <v>521</v>
      </c>
      <c r="J3" s="311">
        <f>SUM(C4,C45,C86,C127)</f>
        <v>0</v>
      </c>
    </row>
    <row r="4" spans="1:10" s="99" customFormat="1" ht="30.2" customHeight="1" x14ac:dyDescent="0.25">
      <c r="A4" s="467"/>
      <c r="B4" s="61" t="str">
        <f>IF($A4="","",(LOOKUP($A4,'Catchment Summary Table'!$A$4:$A$33,'Catchment Summary Table'!$B$4:$B$33)))</f>
        <v/>
      </c>
      <c r="C4" s="61" t="str">
        <f>IF($A4="","",(LOOKUP($A4,'Catchment Summary Table'!$A$4:$A$33,'Catchment Summary Table'!$C$4:$C$33)))</f>
        <v/>
      </c>
      <c r="D4" s="61" t="str">
        <f>IF($A4="","",(LOOKUP($A4,'Catchment Summary Table'!$A$4:$A$33,'Catchment Summary Table'!$D$4:$D$33)))</f>
        <v/>
      </c>
      <c r="E4" s="61" t="str">
        <f>IF($A4="","",(LOOKUP($A4,'Catchment Summary Table'!$A$4:$A$33,'Catchment Summary Table'!$E$4:$E$33)))</f>
        <v/>
      </c>
      <c r="F4" s="61" t="str">
        <f>IF($A4="","",(LOOKUP($A4,'Catchment Summary Table'!$A$4:$A$33,'Catchment Summary Table'!$F$4:$F$33)))</f>
        <v/>
      </c>
      <c r="G4" s="284" t="str">
        <f>IF(B4="","",'Total WQv Calculation'!$B$4)</f>
        <v/>
      </c>
      <c r="H4" s="466" t="str">
        <f>IF($A4="","",(LOOKUP($A4,'Catchment Summary Table'!$A$4:$A$33,'Catchment Summary Table'!$G$4:$G$33)))</f>
        <v/>
      </c>
    </row>
    <row r="5" spans="1:10" s="99" customFormat="1" ht="15" customHeight="1" x14ac:dyDescent="0.25">
      <c r="A5" s="800" t="str">
        <f>IF(B4="","",IF(B4&gt;5,"Drainage Area Exceeds the 5 acre limit",""))</f>
        <v/>
      </c>
      <c r="B5" s="800"/>
      <c r="C5" s="800"/>
      <c r="D5" s="800"/>
      <c r="E5" s="800"/>
      <c r="F5" s="800"/>
      <c r="G5" s="800"/>
      <c r="H5" s="800"/>
    </row>
    <row r="6" spans="1:10" ht="15" customHeight="1" x14ac:dyDescent="0.25">
      <c r="A6" s="645" t="s">
        <v>505</v>
      </c>
      <c r="B6" s="645"/>
      <c r="C6" s="645"/>
      <c r="D6" s="645"/>
      <c r="E6" s="645"/>
      <c r="F6" s="645"/>
      <c r="G6" s="645"/>
      <c r="H6" s="645"/>
    </row>
    <row r="7" spans="1:10" ht="15" customHeight="1" x14ac:dyDescent="0.25">
      <c r="A7" s="1068" t="s">
        <v>507</v>
      </c>
      <c r="B7" s="1069"/>
      <c r="C7" s="365"/>
      <c r="D7" s="217" t="s">
        <v>317</v>
      </c>
      <c r="E7" s="1070" t="str">
        <f>IF(C7="","",IF(C7&gt;=0.5,"Okay","Error, Infiltration rate is too low, practice is not appropriate"))</f>
        <v/>
      </c>
      <c r="F7" s="1071"/>
      <c r="G7" s="1071"/>
      <c r="H7" s="1072"/>
    </row>
    <row r="8" spans="1:10" ht="15" customHeight="1" x14ac:dyDescent="0.25">
      <c r="A8" s="645" t="s">
        <v>120</v>
      </c>
      <c r="B8" s="645"/>
      <c r="C8" s="645"/>
      <c r="D8" s="645"/>
      <c r="E8" s="645"/>
      <c r="F8" s="645"/>
      <c r="G8" s="645"/>
      <c r="H8" s="645"/>
    </row>
    <row r="9" spans="1:10" ht="15" hidden="1" customHeight="1" x14ac:dyDescent="0.25">
      <c r="A9" s="490" t="s">
        <v>121</v>
      </c>
      <c r="B9" s="490" t="s">
        <v>122</v>
      </c>
      <c r="C9" s="490" t="s">
        <v>123</v>
      </c>
      <c r="D9" s="1073" t="s">
        <v>124</v>
      </c>
      <c r="E9" s="1073"/>
      <c r="F9" s="1073" t="s">
        <v>125</v>
      </c>
      <c r="G9" s="1073"/>
      <c r="H9" s="470"/>
    </row>
    <row r="10" spans="1:10" ht="15" hidden="1" customHeight="1" x14ac:dyDescent="0.25">
      <c r="A10" s="490" t="e">
        <f>+G4*E4</f>
        <v>#VALUE!</v>
      </c>
      <c r="B10" s="491" t="e">
        <f>+A10^2</f>
        <v>#VALUE!</v>
      </c>
      <c r="C10" s="491" t="e">
        <f>1.25*A10*G4</f>
        <v>#VALUE!</v>
      </c>
      <c r="D10" s="1077" t="e">
        <f>+(B10+C10)^0.5</f>
        <v>#VALUE!</v>
      </c>
      <c r="E10" s="1077"/>
      <c r="F10" s="1077" t="e">
        <f>+D10*10</f>
        <v>#VALUE!</v>
      </c>
      <c r="G10" s="1077"/>
      <c r="H10" s="470"/>
    </row>
    <row r="11" spans="1:10" ht="30.2" customHeight="1" x14ac:dyDescent="0.25">
      <c r="A11" s="457" t="s">
        <v>498</v>
      </c>
      <c r="B11" s="57" t="str">
        <f>IF(ISERROR(1000/(10+5*G4+10*A10-F10)),"",(1000/(10+5*G4+10*A10-F10)))</f>
        <v/>
      </c>
      <c r="C11" s="1074" t="s">
        <v>499</v>
      </c>
      <c r="D11" s="1075"/>
      <c r="E11" s="1075"/>
      <c r="F11" s="1075"/>
      <c r="G11" s="1075"/>
      <c r="H11" s="1076"/>
    </row>
    <row r="12" spans="1:10" ht="15" customHeight="1" x14ac:dyDescent="0.25">
      <c r="A12" s="276" t="s">
        <v>126</v>
      </c>
      <c r="B12" s="215" t="str">
        <f>IF(ISERROR(200/B11-2),"",200/B11-2)</f>
        <v/>
      </c>
      <c r="C12" s="1081"/>
      <c r="D12" s="1082"/>
      <c r="E12" s="1082"/>
      <c r="F12" s="1082"/>
      <c r="G12" s="1082"/>
      <c r="H12" s="1083"/>
    </row>
    <row r="13" spans="1:10" ht="15" customHeight="1" x14ac:dyDescent="0.25">
      <c r="A13" s="276" t="s">
        <v>127</v>
      </c>
      <c r="B13" s="215" t="str">
        <f>IF(ISERROR(B12/G4),"",B12/G4)</f>
        <v/>
      </c>
      <c r="C13" s="1078"/>
      <c r="D13" s="1079"/>
      <c r="E13" s="1079"/>
      <c r="F13" s="1079"/>
      <c r="G13" s="1079"/>
      <c r="H13" s="1080"/>
    </row>
    <row r="14" spans="1:10" ht="15" customHeight="1" x14ac:dyDescent="0.25">
      <c r="A14" s="276" t="s">
        <v>128</v>
      </c>
      <c r="B14" s="104"/>
      <c r="C14" s="1064" t="s">
        <v>500</v>
      </c>
      <c r="D14" s="1065"/>
      <c r="E14" s="1065"/>
      <c r="F14" s="1065"/>
      <c r="G14" s="1065"/>
      <c r="H14" s="1065"/>
    </row>
    <row r="15" spans="1:10" ht="30.2" customHeight="1" x14ac:dyDescent="0.25">
      <c r="A15" s="457" t="s">
        <v>129</v>
      </c>
      <c r="B15" s="467"/>
      <c r="C15" s="1064" t="s">
        <v>501</v>
      </c>
      <c r="D15" s="1065"/>
      <c r="E15" s="1065"/>
      <c r="F15" s="1065"/>
      <c r="G15" s="1065"/>
      <c r="H15" s="1065"/>
    </row>
    <row r="16" spans="1:10" ht="15" customHeight="1" x14ac:dyDescent="0.25">
      <c r="A16" s="276" t="s">
        <v>67</v>
      </c>
      <c r="B16" s="61" t="str">
        <f>IF(ISERROR((B4/640)*A10*B15 ),"",((B4/640)*A10*B15))</f>
        <v/>
      </c>
      <c r="C16" s="478" t="s">
        <v>130</v>
      </c>
      <c r="D16" s="1066"/>
      <c r="E16" s="646"/>
      <c r="F16" s="646"/>
      <c r="G16" s="646"/>
      <c r="H16" s="1067"/>
      <c r="J16" s="74"/>
    </row>
    <row r="17" spans="1:10" ht="15" customHeight="1" x14ac:dyDescent="0.25">
      <c r="A17" s="494" t="s">
        <v>131</v>
      </c>
      <c r="B17" s="467"/>
      <c r="C17" s="461" t="s">
        <v>130</v>
      </c>
      <c r="D17" s="814" t="s">
        <v>347</v>
      </c>
      <c r="E17" s="814"/>
      <c r="F17" s="814"/>
      <c r="G17" s="814"/>
      <c r="H17" s="814"/>
    </row>
    <row r="18" spans="1:10" s="74" customFormat="1" ht="15" customHeight="1" x14ac:dyDescent="0.25">
      <c r="A18" s="645" t="s">
        <v>132</v>
      </c>
      <c r="B18" s="645"/>
      <c r="C18" s="645"/>
      <c r="D18" s="645"/>
      <c r="E18" s="645"/>
      <c r="F18" s="645"/>
      <c r="G18" s="645"/>
      <c r="H18" s="645"/>
    </row>
    <row r="19" spans="1:10" ht="15" customHeight="1" x14ac:dyDescent="0.25">
      <c r="A19" s="1062" t="s">
        <v>10</v>
      </c>
      <c r="B19" s="1062"/>
      <c r="C19" s="509"/>
      <c r="D19" s="512" t="s">
        <v>12</v>
      </c>
      <c r="E19" s="1092" t="s">
        <v>340</v>
      </c>
      <c r="F19" s="1093"/>
      <c r="G19" s="1093"/>
      <c r="H19" s="1094"/>
    </row>
    <row r="20" spans="1:10" s="125" customFormat="1" ht="15" customHeight="1" x14ac:dyDescent="0.25">
      <c r="A20" s="1062" t="s">
        <v>133</v>
      </c>
      <c r="B20" s="1062"/>
      <c r="C20" s="103"/>
      <c r="D20" s="512" t="s">
        <v>337</v>
      </c>
      <c r="E20" s="1070" t="str">
        <f>IF(C20="","",IF(C20&lt;3,"Error:  side slopes no steeper than 3:1","Okay"))</f>
        <v/>
      </c>
      <c r="F20" s="1071"/>
      <c r="G20" s="1071"/>
      <c r="H20" s="1072"/>
    </row>
    <row r="21" spans="1:10" s="164" customFormat="1" ht="15" customHeight="1" x14ac:dyDescent="0.25">
      <c r="A21" s="1062" t="s">
        <v>480</v>
      </c>
      <c r="B21" s="1062"/>
      <c r="C21" s="509"/>
      <c r="D21" s="512" t="s">
        <v>12</v>
      </c>
      <c r="E21" s="1092"/>
      <c r="F21" s="1093"/>
      <c r="G21" s="1093"/>
      <c r="H21" s="1094"/>
    </row>
    <row r="22" spans="1:10" s="164" customFormat="1" ht="15" customHeight="1" x14ac:dyDescent="0.25">
      <c r="A22" s="1062" t="s">
        <v>479</v>
      </c>
      <c r="B22" s="1062"/>
      <c r="C22" s="104"/>
      <c r="D22" s="512" t="s">
        <v>12</v>
      </c>
      <c r="E22" s="588" t="str">
        <f>IF(C22="","",IF(C22&gt;4/12,"Error:  Convey the peak WQv at a flow depth of 4 inches or less","Okay"))</f>
        <v/>
      </c>
      <c r="F22" s="589"/>
      <c r="G22" s="589"/>
      <c r="H22" s="590"/>
    </row>
    <row r="23" spans="1:10" s="164" customFormat="1" ht="15" customHeight="1" x14ac:dyDescent="0.25">
      <c r="A23" s="1062" t="s">
        <v>134</v>
      </c>
      <c r="B23" s="1062"/>
      <c r="C23" s="144"/>
      <c r="D23" s="512"/>
      <c r="E23" s="902" t="s">
        <v>339</v>
      </c>
      <c r="F23" s="903"/>
      <c r="G23" s="903"/>
      <c r="H23" s="904"/>
    </row>
    <row r="24" spans="1:10" ht="15" customHeight="1" x14ac:dyDescent="0.25">
      <c r="A24" s="1062" t="s">
        <v>531</v>
      </c>
      <c r="B24" s="1062"/>
      <c r="C24" s="147"/>
      <c r="D24" s="512" t="s">
        <v>12</v>
      </c>
      <c r="E24" s="902"/>
      <c r="F24" s="903"/>
      <c r="G24" s="903"/>
      <c r="H24" s="904"/>
    </row>
    <row r="25" spans="1:10" ht="15" customHeight="1" x14ac:dyDescent="0.25">
      <c r="A25" s="1062" t="s">
        <v>136</v>
      </c>
      <c r="B25" s="1062"/>
      <c r="C25" s="147"/>
      <c r="D25" s="512"/>
      <c r="E25" s="902" t="s">
        <v>341</v>
      </c>
      <c r="F25" s="903"/>
      <c r="G25" s="903"/>
      <c r="H25" s="904"/>
    </row>
    <row r="26" spans="1:10" ht="15" customHeight="1" x14ac:dyDescent="0.25">
      <c r="A26" s="645" t="s">
        <v>571</v>
      </c>
      <c r="B26" s="645"/>
      <c r="C26" s="645"/>
      <c r="D26" s="645"/>
      <c r="E26" s="645"/>
      <c r="F26" s="645"/>
      <c r="G26" s="645"/>
      <c r="H26" s="645"/>
    </row>
    <row r="27" spans="1:10" ht="15" customHeight="1" x14ac:dyDescent="0.25">
      <c r="A27" s="457" t="s">
        <v>72</v>
      </c>
      <c r="B27" s="309">
        <f>+C19+(2*C20)*C22</f>
        <v>0</v>
      </c>
      <c r="C27" s="458"/>
      <c r="D27" s="1068" t="s">
        <v>121</v>
      </c>
      <c r="E27" s="1084"/>
      <c r="F27" s="216" t="str">
        <f>IF(ISERROR((1.49/C25)*B28*((B28/B29)^(2/3))*C23^0.5),"",(1.49/C25)*B28*((B28/B29)^(2/3))*C23^0.5)</f>
        <v/>
      </c>
      <c r="G27" s="488"/>
      <c r="H27" s="492"/>
    </row>
    <row r="28" spans="1:10" s="74" customFormat="1" ht="15" customHeight="1" x14ac:dyDescent="0.25">
      <c r="A28" s="457" t="s">
        <v>4</v>
      </c>
      <c r="B28" s="61">
        <f>C19*C22+C20*C22^2</f>
        <v>0</v>
      </c>
      <c r="C28" s="458" t="s">
        <v>530</v>
      </c>
      <c r="D28" s="1068" t="s">
        <v>342</v>
      </c>
      <c r="E28" s="1084"/>
      <c r="F28" s="61" t="str">
        <f>IF(ISERROR(+F27/B28),"",+F27/B28)</f>
        <v/>
      </c>
      <c r="G28" s="489" t="s">
        <v>338</v>
      </c>
      <c r="H28" s="310"/>
    </row>
    <row r="29" spans="1:10" ht="25.35" customHeight="1" x14ac:dyDescent="0.25">
      <c r="A29" s="457" t="s">
        <v>135</v>
      </c>
      <c r="B29" s="61">
        <f>C19+((C22^2+(C20*C22)^2)^0.5)*2</f>
        <v>0</v>
      </c>
      <c r="C29" s="458" t="s">
        <v>12</v>
      </c>
      <c r="D29" s="1068" t="s">
        <v>137</v>
      </c>
      <c r="E29" s="1084"/>
      <c r="F29" s="61" t="str">
        <f>IF(ISERROR((C24/F28)/60),"",((C24/F28)/60))</f>
        <v/>
      </c>
      <c r="G29" s="489" t="s">
        <v>343</v>
      </c>
      <c r="H29" s="310"/>
      <c r="J29" s="54"/>
    </row>
    <row r="30" spans="1:10" ht="15" customHeight="1" x14ac:dyDescent="0.25">
      <c r="A30" s="645" t="s">
        <v>569</v>
      </c>
      <c r="B30" s="645"/>
      <c r="C30" s="645"/>
      <c r="D30" s="645"/>
      <c r="E30" s="1085"/>
      <c r="F30" s="1085"/>
      <c r="G30" s="1085"/>
      <c r="H30" s="1085"/>
      <c r="J30" s="55"/>
    </row>
    <row r="31" spans="1:10" ht="15" customHeight="1" x14ac:dyDescent="0.25">
      <c r="A31" s="1062" t="s">
        <v>478</v>
      </c>
      <c r="B31" s="1062"/>
      <c r="C31" s="61" t="str">
        <f>IF(ISERROR(F29*60*F28),"",F29*60*F28)</f>
        <v/>
      </c>
      <c r="D31" s="552" t="s">
        <v>12</v>
      </c>
      <c r="E31" s="595"/>
      <c r="F31" s="596"/>
      <c r="G31" s="596"/>
      <c r="H31" s="597"/>
    </row>
    <row r="32" spans="1:10" ht="15" customHeight="1" x14ac:dyDescent="0.25">
      <c r="A32" s="1062" t="s">
        <v>481</v>
      </c>
      <c r="B32" s="1062"/>
      <c r="C32" s="104"/>
      <c r="D32" s="552" t="s">
        <v>12</v>
      </c>
      <c r="E32" s="598"/>
      <c r="F32" s="592"/>
      <c r="G32" s="592"/>
      <c r="H32" s="599"/>
    </row>
    <row r="33" spans="1:9" ht="15" customHeight="1" x14ac:dyDescent="0.25">
      <c r="A33" s="1063" t="s">
        <v>344</v>
      </c>
      <c r="B33" s="1063"/>
      <c r="C33" s="104"/>
      <c r="D33" s="591" t="s">
        <v>338</v>
      </c>
      <c r="E33" s="600"/>
      <c r="F33" s="593"/>
      <c r="G33" s="593"/>
      <c r="H33" s="601"/>
    </row>
    <row r="34" spans="1:9" s="164" customFormat="1" ht="15" customHeight="1" x14ac:dyDescent="0.25">
      <c r="A34" s="1063" t="s">
        <v>345</v>
      </c>
      <c r="B34" s="1063"/>
      <c r="C34" s="104"/>
      <c r="D34" s="591" t="s">
        <v>206</v>
      </c>
      <c r="E34" s="602"/>
      <c r="F34" s="594"/>
      <c r="G34" s="594"/>
      <c r="H34" s="603"/>
    </row>
    <row r="35" spans="1:9" ht="15" customHeight="1" x14ac:dyDescent="0.25">
      <c r="A35" s="1063" t="s">
        <v>346</v>
      </c>
      <c r="B35" s="1063"/>
      <c r="C35" s="104"/>
      <c r="D35" s="591" t="s">
        <v>206</v>
      </c>
      <c r="E35" s="604"/>
      <c r="F35" s="605"/>
      <c r="G35" s="605"/>
      <c r="H35" s="606"/>
      <c r="I35" s="15"/>
    </row>
    <row r="36" spans="1:9" s="164" customFormat="1" ht="15" customHeight="1" x14ac:dyDescent="0.25">
      <c r="A36" s="1086" t="s">
        <v>88</v>
      </c>
      <c r="B36" s="1086"/>
      <c r="C36" s="1086"/>
      <c r="D36" s="1086"/>
      <c r="E36" s="1087"/>
      <c r="F36" s="1087"/>
      <c r="G36" s="1087"/>
      <c r="H36" s="1087"/>
    </row>
    <row r="37" spans="1:9" ht="15" customHeight="1" x14ac:dyDescent="0.25">
      <c r="A37" s="457" t="s">
        <v>216</v>
      </c>
      <c r="B37" s="467"/>
      <c r="C37" s="1058" t="s">
        <v>456</v>
      </c>
      <c r="D37" s="1058"/>
      <c r="E37" s="61">
        <f>IF(B37="A",0.2,0)+IF(B37="B",0.2,0)+IF(B37="C",0.1,0)+IF(B37="D",0.1,0)+IF(B37="Modified C",0.15,0)+IF(B37="Modified D",0.12,0)</f>
        <v>0</v>
      </c>
      <c r="F37" s="727"/>
      <c r="G37" s="728"/>
      <c r="H37" s="729"/>
    </row>
    <row r="38" spans="1:9" ht="30.2" customHeight="1" x14ac:dyDescent="0.25">
      <c r="A38" s="1059" t="s">
        <v>572</v>
      </c>
      <c r="B38" s="1059"/>
      <c r="C38" s="1059"/>
      <c r="D38" s="366"/>
      <c r="E38" s="1060" t="s">
        <v>560</v>
      </c>
      <c r="F38" s="1060"/>
      <c r="G38" s="1061"/>
      <c r="H38" s="1061"/>
    </row>
    <row r="39" spans="1:9" x14ac:dyDescent="0.25">
      <c r="A39" s="1088" t="s">
        <v>32</v>
      </c>
      <c r="B39" s="1088"/>
      <c r="C39" s="1088"/>
      <c r="D39" s="312" t="str">
        <f>IF(ISERROR(E37*F4),"",(E37*F4))</f>
        <v/>
      </c>
      <c r="E39" s="484" t="s">
        <v>145</v>
      </c>
      <c r="F39" s="1089"/>
      <c r="G39" s="1089"/>
      <c r="H39" s="1089"/>
    </row>
    <row r="40" spans="1:9" ht="30.2" customHeight="1" x14ac:dyDescent="0.25">
      <c r="A40" s="1090" t="s">
        <v>544</v>
      </c>
      <c r="B40" s="1090"/>
      <c r="C40" s="1090"/>
      <c r="D40" s="607" t="str">
        <f>IF(ISERROR(F4-D39 ),"",(F4-D39 ))</f>
        <v/>
      </c>
      <c r="E40" s="608" t="s">
        <v>145</v>
      </c>
      <c r="F40" s="1091"/>
      <c r="G40" s="1091"/>
      <c r="H40" s="1091"/>
    </row>
    <row r="41" spans="1:9" s="1" customFormat="1" ht="15" customHeight="1" x14ac:dyDescent="0.25">
      <c r="A41" s="609"/>
      <c r="B41" s="609"/>
      <c r="C41" s="609"/>
      <c r="D41" s="610"/>
      <c r="E41" s="611"/>
      <c r="F41" s="612"/>
      <c r="G41" s="612"/>
      <c r="H41" s="612"/>
    </row>
    <row r="42" spans="1:9" x14ac:dyDescent="0.25">
      <c r="A42" s="561" t="s">
        <v>600</v>
      </c>
      <c r="B42" s="562" t="str">
        <f>IF('Total WQv Calculation'!$B$3="","",'Total WQv Calculation'!$B$3)</f>
        <v/>
      </c>
      <c r="C42" s="164"/>
      <c r="D42" s="164"/>
      <c r="E42" s="164"/>
      <c r="F42" s="164"/>
      <c r="G42" s="164"/>
      <c r="H42" s="164"/>
    </row>
    <row r="43" spans="1:9" x14ac:dyDescent="0.25">
      <c r="A43" s="645" t="s">
        <v>79</v>
      </c>
      <c r="B43" s="645"/>
      <c r="C43" s="645"/>
      <c r="D43" s="645"/>
      <c r="E43" s="645"/>
      <c r="F43" s="645"/>
      <c r="G43" s="645"/>
      <c r="H43" s="645"/>
    </row>
    <row r="44" spans="1:9" ht="46.7" customHeight="1" x14ac:dyDescent="0.25">
      <c r="A44" s="504" t="s">
        <v>493</v>
      </c>
      <c r="B44" s="505" t="s">
        <v>610</v>
      </c>
      <c r="C44" s="578" t="s">
        <v>611</v>
      </c>
      <c r="D44" s="505" t="s">
        <v>612</v>
      </c>
      <c r="E44" s="505" t="s">
        <v>7</v>
      </c>
      <c r="F44" s="505" t="s">
        <v>613</v>
      </c>
      <c r="G44" s="505" t="s">
        <v>614</v>
      </c>
      <c r="H44" s="506" t="s">
        <v>29</v>
      </c>
    </row>
    <row r="45" spans="1:9" ht="30.2" customHeight="1" x14ac:dyDescent="0.25">
      <c r="A45" s="509"/>
      <c r="B45" s="61" t="str">
        <f>IF($A45="","",(LOOKUP($A45,'Catchment Summary Table'!$A$4:$A$33,'Catchment Summary Table'!$B$4:$B$33)))</f>
        <v/>
      </c>
      <c r="C45" s="61" t="str">
        <f>IF($A45="","",(LOOKUP($A45,'Catchment Summary Table'!$A$4:$A$33,'Catchment Summary Table'!$C$4:$C$33)))</f>
        <v/>
      </c>
      <c r="D45" s="61" t="str">
        <f>IF($A45="","",(LOOKUP($A45,'Catchment Summary Table'!$A$4:$A$33,'Catchment Summary Table'!$D$4:$D$33)))</f>
        <v/>
      </c>
      <c r="E45" s="61" t="str">
        <f>IF($A45="","",(LOOKUP($A45,'Catchment Summary Table'!$A$4:$A$33,'Catchment Summary Table'!$E$4:$E$33)))</f>
        <v/>
      </c>
      <c r="F45" s="61" t="str">
        <f>IF($A45="","",(LOOKUP($A45,'Catchment Summary Table'!$A$4:$A$33,'Catchment Summary Table'!$F$4:$F$33)))</f>
        <v/>
      </c>
      <c r="G45" s="284" t="str">
        <f>IF(B45="","",'Total WQv Calculation'!$B$4)</f>
        <v/>
      </c>
      <c r="H45" s="510" t="str">
        <f>IF($A45="","",(LOOKUP($A45,'Catchment Summary Table'!$A$4:$A$33,'Catchment Summary Table'!$G$4:$G$33)))</f>
        <v/>
      </c>
    </row>
    <row r="46" spans="1:9" x14ac:dyDescent="0.25">
      <c r="A46" s="800" t="str">
        <f>IF(B45="","",IF(B45&gt;5,"Drainage Area Exceeds the 5 acre limit",""))</f>
        <v/>
      </c>
      <c r="B46" s="800"/>
      <c r="C46" s="800"/>
      <c r="D46" s="800"/>
      <c r="E46" s="800"/>
      <c r="F46" s="800"/>
      <c r="G46" s="800"/>
      <c r="H46" s="800"/>
    </row>
    <row r="47" spans="1:9" x14ac:dyDescent="0.25">
      <c r="A47" s="645" t="s">
        <v>505</v>
      </c>
      <c r="B47" s="645"/>
      <c r="C47" s="645"/>
      <c r="D47" s="645"/>
      <c r="E47" s="645"/>
      <c r="F47" s="645"/>
      <c r="G47" s="645"/>
      <c r="H47" s="645"/>
    </row>
    <row r="48" spans="1:9" x14ac:dyDescent="0.25">
      <c r="A48" s="1068" t="s">
        <v>507</v>
      </c>
      <c r="B48" s="1069"/>
      <c r="C48" s="365"/>
      <c r="D48" s="217" t="s">
        <v>317</v>
      </c>
      <c r="E48" s="1070" t="str">
        <f>IF(C48="","",IF(C48&gt;=0.5,"Okay","Error, Infiltration rate is too low, practice is not appropriate"))</f>
        <v/>
      </c>
      <c r="F48" s="1071"/>
      <c r="G48" s="1071"/>
      <c r="H48" s="1072"/>
    </row>
    <row r="49" spans="1:8" x14ac:dyDescent="0.25">
      <c r="A49" s="645" t="s">
        <v>120</v>
      </c>
      <c r="B49" s="645"/>
      <c r="C49" s="645"/>
      <c r="D49" s="645"/>
      <c r="E49" s="645"/>
      <c r="F49" s="645"/>
      <c r="G49" s="645"/>
      <c r="H49" s="645"/>
    </row>
    <row r="50" spans="1:8" hidden="1" x14ac:dyDescent="0.25">
      <c r="A50" s="549" t="s">
        <v>121</v>
      </c>
      <c r="B50" s="549" t="s">
        <v>122</v>
      </c>
      <c r="C50" s="549" t="s">
        <v>123</v>
      </c>
      <c r="D50" s="1073" t="s">
        <v>124</v>
      </c>
      <c r="E50" s="1073"/>
      <c r="F50" s="1073" t="s">
        <v>125</v>
      </c>
      <c r="G50" s="1073"/>
      <c r="H50" s="519"/>
    </row>
    <row r="51" spans="1:8" hidden="1" x14ac:dyDescent="0.25">
      <c r="A51" s="549" t="e">
        <f>+G45*E45</f>
        <v>#VALUE!</v>
      </c>
      <c r="B51" s="551" t="e">
        <f>+A51^2</f>
        <v>#VALUE!</v>
      </c>
      <c r="C51" s="551" t="e">
        <f>1.25*A51*G45</f>
        <v>#VALUE!</v>
      </c>
      <c r="D51" s="1077" t="e">
        <f>+(B51+C51)^0.5</f>
        <v>#VALUE!</v>
      </c>
      <c r="E51" s="1077"/>
      <c r="F51" s="1077" t="e">
        <f>+D51*10</f>
        <v>#VALUE!</v>
      </c>
      <c r="G51" s="1077"/>
      <c r="H51" s="519"/>
    </row>
    <row r="52" spans="1:8" ht="30.2" customHeight="1" x14ac:dyDescent="0.25">
      <c r="A52" s="511" t="s">
        <v>498</v>
      </c>
      <c r="B52" s="57" t="str">
        <f>IF(ISERROR(1000/(10+5*G45+10*A51-F51)),"",(1000/(10+5*G45+10*A51-F51)))</f>
        <v/>
      </c>
      <c r="C52" s="1074" t="s">
        <v>499</v>
      </c>
      <c r="D52" s="1075"/>
      <c r="E52" s="1075"/>
      <c r="F52" s="1075"/>
      <c r="G52" s="1075"/>
      <c r="H52" s="1076"/>
    </row>
    <row r="53" spans="1:8" ht="15" customHeight="1" x14ac:dyDescent="0.25">
      <c r="A53" s="276" t="s">
        <v>126</v>
      </c>
      <c r="B53" s="215" t="str">
        <f>IF(ISERROR(200/B52-2),"",200/B52-2)</f>
        <v/>
      </c>
      <c r="C53" s="1081"/>
      <c r="D53" s="1082"/>
      <c r="E53" s="1082"/>
      <c r="F53" s="1082"/>
      <c r="G53" s="1082"/>
      <c r="H53" s="1083"/>
    </row>
    <row r="54" spans="1:8" ht="15" customHeight="1" x14ac:dyDescent="0.25">
      <c r="A54" s="276" t="s">
        <v>127</v>
      </c>
      <c r="B54" s="215" t="str">
        <f>IF(ISERROR(B53/G45),"",B53/G45)</f>
        <v/>
      </c>
      <c r="C54" s="1078"/>
      <c r="D54" s="1079"/>
      <c r="E54" s="1079"/>
      <c r="F54" s="1079"/>
      <c r="G54" s="1079"/>
      <c r="H54" s="1080"/>
    </row>
    <row r="55" spans="1:8" ht="15" customHeight="1" x14ac:dyDescent="0.25">
      <c r="A55" s="276" t="s">
        <v>128</v>
      </c>
      <c r="B55" s="104"/>
      <c r="C55" s="1064" t="s">
        <v>500</v>
      </c>
      <c r="D55" s="1065"/>
      <c r="E55" s="1065"/>
      <c r="F55" s="1065"/>
      <c r="G55" s="1065"/>
      <c r="H55" s="1065"/>
    </row>
    <row r="56" spans="1:8" ht="30.2" customHeight="1" x14ac:dyDescent="0.25">
      <c r="A56" s="511" t="s">
        <v>129</v>
      </c>
      <c r="B56" s="509"/>
      <c r="C56" s="1064" t="s">
        <v>501</v>
      </c>
      <c r="D56" s="1065"/>
      <c r="E56" s="1065"/>
      <c r="F56" s="1065"/>
      <c r="G56" s="1065"/>
      <c r="H56" s="1065"/>
    </row>
    <row r="57" spans="1:8" ht="15" customHeight="1" x14ac:dyDescent="0.25">
      <c r="A57" s="276" t="s">
        <v>67</v>
      </c>
      <c r="B57" s="61" t="str">
        <f>IF(ISERROR((B45/640)*A51*B56 ),"",((B45/640)*A51*B56))</f>
        <v/>
      </c>
      <c r="C57" s="531" t="s">
        <v>130</v>
      </c>
      <c r="D57" s="1066"/>
      <c r="E57" s="646"/>
      <c r="F57" s="646"/>
      <c r="G57" s="646"/>
      <c r="H57" s="1067"/>
    </row>
    <row r="58" spans="1:8" ht="15" customHeight="1" x14ac:dyDescent="0.25">
      <c r="A58" s="548" t="s">
        <v>131</v>
      </c>
      <c r="B58" s="509"/>
      <c r="C58" s="516" t="s">
        <v>130</v>
      </c>
      <c r="D58" s="814" t="s">
        <v>347</v>
      </c>
      <c r="E58" s="814"/>
      <c r="F58" s="814"/>
      <c r="G58" s="814"/>
      <c r="H58" s="814"/>
    </row>
    <row r="59" spans="1:8" ht="15" customHeight="1" x14ac:dyDescent="0.25">
      <c r="A59" s="645" t="s">
        <v>132</v>
      </c>
      <c r="B59" s="645"/>
      <c r="C59" s="645"/>
      <c r="D59" s="645"/>
      <c r="E59" s="645"/>
      <c r="F59" s="645"/>
      <c r="G59" s="645"/>
      <c r="H59" s="645"/>
    </row>
    <row r="60" spans="1:8" ht="15" customHeight="1" x14ac:dyDescent="0.25">
      <c r="A60" s="1062" t="s">
        <v>10</v>
      </c>
      <c r="B60" s="1062"/>
      <c r="C60" s="509"/>
      <c r="D60" s="512" t="s">
        <v>12</v>
      </c>
      <c r="E60" s="1092" t="s">
        <v>340</v>
      </c>
      <c r="F60" s="1093"/>
      <c r="G60" s="1093"/>
      <c r="H60" s="1094"/>
    </row>
    <row r="61" spans="1:8" ht="15" customHeight="1" x14ac:dyDescent="0.25">
      <c r="A61" s="1062" t="s">
        <v>133</v>
      </c>
      <c r="B61" s="1062"/>
      <c r="C61" s="103"/>
      <c r="D61" s="512" t="s">
        <v>337</v>
      </c>
      <c r="E61" s="1070" t="str">
        <f>IF(C61="","",IF(C61&lt;3,"Error:  side slopes no steeper than 3:1","Okay"))</f>
        <v/>
      </c>
      <c r="F61" s="1071"/>
      <c r="G61" s="1071"/>
      <c r="H61" s="1072"/>
    </row>
    <row r="62" spans="1:8" ht="15" customHeight="1" x14ac:dyDescent="0.25">
      <c r="A62" s="1062" t="s">
        <v>480</v>
      </c>
      <c r="B62" s="1062"/>
      <c r="C62" s="509"/>
      <c r="D62" s="512" t="s">
        <v>12</v>
      </c>
      <c r="E62" s="1092"/>
      <c r="F62" s="1093"/>
      <c r="G62" s="1093"/>
      <c r="H62" s="1094"/>
    </row>
    <row r="63" spans="1:8" ht="15" customHeight="1" x14ac:dyDescent="0.25">
      <c r="A63" s="1062" t="s">
        <v>479</v>
      </c>
      <c r="B63" s="1062"/>
      <c r="C63" s="104"/>
      <c r="D63" s="512" t="s">
        <v>12</v>
      </c>
      <c r="E63" s="588" t="str">
        <f>IF(C63="","",IF(C63&gt;4/12,"Error:  Convey the peak WQv at a flow depth of 4 inches or less","Okay"))</f>
        <v/>
      </c>
      <c r="F63" s="589"/>
      <c r="G63" s="589"/>
      <c r="H63" s="590"/>
    </row>
    <row r="64" spans="1:8" ht="15" customHeight="1" x14ac:dyDescent="0.25">
      <c r="A64" s="1062" t="s">
        <v>134</v>
      </c>
      <c r="B64" s="1062"/>
      <c r="C64" s="144"/>
      <c r="D64" s="512"/>
      <c r="E64" s="902" t="s">
        <v>339</v>
      </c>
      <c r="F64" s="903"/>
      <c r="G64" s="903"/>
      <c r="H64" s="904"/>
    </row>
    <row r="65" spans="1:8" ht="15" customHeight="1" x14ac:dyDescent="0.25">
      <c r="A65" s="1062" t="s">
        <v>531</v>
      </c>
      <c r="B65" s="1062"/>
      <c r="C65" s="147"/>
      <c r="D65" s="512" t="s">
        <v>12</v>
      </c>
      <c r="E65" s="902"/>
      <c r="F65" s="903"/>
      <c r="G65" s="903"/>
      <c r="H65" s="904"/>
    </row>
    <row r="66" spans="1:8" ht="15" customHeight="1" x14ac:dyDescent="0.25">
      <c r="A66" s="1062" t="s">
        <v>136</v>
      </c>
      <c r="B66" s="1062"/>
      <c r="C66" s="147"/>
      <c r="D66" s="512"/>
      <c r="E66" s="902" t="s">
        <v>341</v>
      </c>
      <c r="F66" s="903"/>
      <c r="G66" s="903"/>
      <c r="H66" s="904"/>
    </row>
    <row r="67" spans="1:8" x14ac:dyDescent="0.25">
      <c r="A67" s="645" t="s">
        <v>571</v>
      </c>
      <c r="B67" s="645"/>
      <c r="C67" s="645"/>
      <c r="D67" s="645"/>
      <c r="E67" s="645"/>
      <c r="F67" s="645"/>
      <c r="G67" s="645"/>
      <c r="H67" s="645"/>
    </row>
    <row r="68" spans="1:8" x14ac:dyDescent="0.25">
      <c r="A68" s="574" t="s">
        <v>72</v>
      </c>
      <c r="B68" s="309">
        <f>+C60+(2*C61)*C63</f>
        <v>0</v>
      </c>
      <c r="C68" s="575"/>
      <c r="D68" s="1068" t="s">
        <v>121</v>
      </c>
      <c r="E68" s="1084"/>
      <c r="F68" s="216" t="str">
        <f>IF(ISERROR((1.49/C66)*B69*((B69/B70)^(2/3))*C64^0.5),"",(1.49/C66)*B69*((B69/B70)^(2/3))*C64^0.5)</f>
        <v/>
      </c>
      <c r="G68" s="550"/>
      <c r="H68" s="547"/>
    </row>
    <row r="69" spans="1:8" x14ac:dyDescent="0.25">
      <c r="A69" s="574" t="s">
        <v>4</v>
      </c>
      <c r="B69" s="61">
        <f>C60*C63+C61*C63^2</f>
        <v>0</v>
      </c>
      <c r="C69" s="575" t="s">
        <v>530</v>
      </c>
      <c r="D69" s="1068" t="s">
        <v>342</v>
      </c>
      <c r="E69" s="1084"/>
      <c r="F69" s="61" t="str">
        <f>IF(ISERROR(+F68/B69),"",+F68/B69)</f>
        <v/>
      </c>
      <c r="G69" s="553" t="s">
        <v>338</v>
      </c>
      <c r="H69" s="310"/>
    </row>
    <row r="70" spans="1:8" ht="25.5" x14ac:dyDescent="0.25">
      <c r="A70" s="574" t="s">
        <v>135</v>
      </c>
      <c r="B70" s="61">
        <f>C60+((C63^2+(C61*C63)^2)^0.5)*2</f>
        <v>0</v>
      </c>
      <c r="C70" s="575" t="s">
        <v>12</v>
      </c>
      <c r="D70" s="1068" t="s">
        <v>137</v>
      </c>
      <c r="E70" s="1084"/>
      <c r="F70" s="61" t="str">
        <f>IF(ISERROR((C65/F69)/60),"",((C65/F69)/60))</f>
        <v/>
      </c>
      <c r="G70" s="553" t="s">
        <v>343</v>
      </c>
      <c r="H70" s="310"/>
    </row>
    <row r="71" spans="1:8" x14ac:dyDescent="0.25">
      <c r="A71" s="645" t="s">
        <v>569</v>
      </c>
      <c r="B71" s="645"/>
      <c r="C71" s="645"/>
      <c r="D71" s="645"/>
      <c r="E71" s="1085"/>
      <c r="F71" s="1085"/>
      <c r="G71" s="1085"/>
      <c r="H71" s="1085"/>
    </row>
    <row r="72" spans="1:8" x14ac:dyDescent="0.25">
      <c r="A72" s="1062" t="s">
        <v>478</v>
      </c>
      <c r="B72" s="1062"/>
      <c r="C72" s="61" t="str">
        <f>IF(ISERROR(F70*60*F69),"",F70*60*F69)</f>
        <v/>
      </c>
      <c r="D72" s="552" t="s">
        <v>12</v>
      </c>
      <c r="E72" s="595"/>
      <c r="F72" s="596"/>
      <c r="G72" s="596"/>
      <c r="H72" s="597"/>
    </row>
    <row r="73" spans="1:8" x14ac:dyDescent="0.25">
      <c r="A73" s="1062" t="s">
        <v>481</v>
      </c>
      <c r="B73" s="1062"/>
      <c r="C73" s="104"/>
      <c r="D73" s="552" t="s">
        <v>12</v>
      </c>
      <c r="E73" s="598"/>
      <c r="F73" s="592"/>
      <c r="G73" s="592"/>
      <c r="H73" s="599"/>
    </row>
    <row r="74" spans="1:8" x14ac:dyDescent="0.25">
      <c r="A74" s="1063" t="s">
        <v>344</v>
      </c>
      <c r="B74" s="1063"/>
      <c r="C74" s="104"/>
      <c r="D74" s="591" t="s">
        <v>338</v>
      </c>
      <c r="E74" s="600"/>
      <c r="F74" s="593"/>
      <c r="G74" s="593"/>
      <c r="H74" s="601"/>
    </row>
    <row r="75" spans="1:8" x14ac:dyDescent="0.25">
      <c r="A75" s="1063" t="s">
        <v>345</v>
      </c>
      <c r="B75" s="1063"/>
      <c r="C75" s="104"/>
      <c r="D75" s="591" t="s">
        <v>206</v>
      </c>
      <c r="E75" s="602"/>
      <c r="F75" s="594"/>
      <c r="G75" s="594"/>
      <c r="H75" s="603"/>
    </row>
    <row r="76" spans="1:8" x14ac:dyDescent="0.25">
      <c r="A76" s="1063" t="s">
        <v>346</v>
      </c>
      <c r="B76" s="1063"/>
      <c r="C76" s="104"/>
      <c r="D76" s="591" t="s">
        <v>206</v>
      </c>
      <c r="E76" s="604"/>
      <c r="F76" s="605"/>
      <c r="G76" s="605"/>
      <c r="H76" s="606"/>
    </row>
    <row r="77" spans="1:8" x14ac:dyDescent="0.25">
      <c r="A77" s="1086" t="s">
        <v>88</v>
      </c>
      <c r="B77" s="1086"/>
      <c r="C77" s="1086"/>
      <c r="D77" s="1086"/>
      <c r="E77" s="1087"/>
      <c r="F77" s="1087"/>
      <c r="G77" s="1087"/>
      <c r="H77" s="1087"/>
    </row>
    <row r="78" spans="1:8" x14ac:dyDescent="0.25">
      <c r="A78" s="511" t="s">
        <v>216</v>
      </c>
      <c r="B78" s="509"/>
      <c r="C78" s="1058" t="s">
        <v>456</v>
      </c>
      <c r="D78" s="1058"/>
      <c r="E78" s="61">
        <f>IF(B78="A",0.2,0)+IF(B78="B",0.2,0)+IF(B78="C",0.1,0)+IF(B78="D",0.1,0)+IF(B78="Modified C",0.15,0)+IF(B78="Modified D",0.12,0)</f>
        <v>0</v>
      </c>
      <c r="F78" s="727"/>
      <c r="G78" s="728"/>
      <c r="H78" s="729"/>
    </row>
    <row r="79" spans="1:8" ht="30.2" customHeight="1" x14ac:dyDescent="0.25">
      <c r="A79" s="1059" t="s">
        <v>572</v>
      </c>
      <c r="B79" s="1059"/>
      <c r="C79" s="1059"/>
      <c r="D79" s="366"/>
      <c r="E79" s="1060" t="s">
        <v>560</v>
      </c>
      <c r="F79" s="1060"/>
      <c r="G79" s="1061"/>
      <c r="H79" s="1061"/>
    </row>
    <row r="80" spans="1:8" ht="15" customHeight="1" x14ac:dyDescent="0.25">
      <c r="A80" s="1088" t="s">
        <v>32</v>
      </c>
      <c r="B80" s="1088"/>
      <c r="C80" s="1088"/>
      <c r="D80" s="312" t="str">
        <f>IF(ISERROR(E78*F45),"",(E78*F45))</f>
        <v/>
      </c>
      <c r="E80" s="538" t="s">
        <v>145</v>
      </c>
      <c r="F80" s="1089"/>
      <c r="G80" s="1089"/>
      <c r="H80" s="1089"/>
    </row>
    <row r="81" spans="1:8" ht="30.2" customHeight="1" x14ac:dyDescent="0.25">
      <c r="A81" s="1090" t="s">
        <v>544</v>
      </c>
      <c r="B81" s="1090"/>
      <c r="C81" s="1090"/>
      <c r="D81" s="607" t="str">
        <f>IF(ISERROR(F45-D80 ),"",(F45-D80 ))</f>
        <v/>
      </c>
      <c r="E81" s="608" t="s">
        <v>145</v>
      </c>
      <c r="F81" s="1091"/>
      <c r="G81" s="1091"/>
      <c r="H81" s="1091"/>
    </row>
    <row r="82" spans="1:8" s="1" customFormat="1" ht="15" customHeight="1" x14ac:dyDescent="0.25">
      <c r="A82" s="609"/>
      <c r="B82" s="609"/>
      <c r="C82" s="609"/>
      <c r="D82" s="610"/>
      <c r="E82" s="611"/>
      <c r="F82" s="612"/>
      <c r="G82" s="612"/>
      <c r="H82" s="612"/>
    </row>
    <row r="83" spans="1:8" ht="15" customHeight="1" x14ac:dyDescent="0.25">
      <c r="A83" s="561" t="s">
        <v>600</v>
      </c>
      <c r="B83" s="562" t="str">
        <f>IF('Total WQv Calculation'!$B$3="","",'Total WQv Calculation'!$B$3)</f>
        <v/>
      </c>
      <c r="C83" s="164"/>
      <c r="D83" s="164"/>
      <c r="E83" s="164"/>
      <c r="F83" s="164"/>
      <c r="G83" s="164"/>
      <c r="H83" s="164"/>
    </row>
    <row r="84" spans="1:8" ht="15" customHeight="1" x14ac:dyDescent="0.25">
      <c r="A84" s="645" t="s">
        <v>79</v>
      </c>
      <c r="B84" s="645"/>
      <c r="C84" s="645"/>
      <c r="D84" s="645"/>
      <c r="E84" s="645"/>
      <c r="F84" s="645"/>
      <c r="G84" s="645"/>
      <c r="H84" s="645"/>
    </row>
    <row r="85" spans="1:8" ht="46.7" customHeight="1" x14ac:dyDescent="0.25">
      <c r="A85" s="504" t="s">
        <v>493</v>
      </c>
      <c r="B85" s="505" t="s">
        <v>610</v>
      </c>
      <c r="C85" s="578" t="s">
        <v>611</v>
      </c>
      <c r="D85" s="505" t="s">
        <v>612</v>
      </c>
      <c r="E85" s="505" t="s">
        <v>7</v>
      </c>
      <c r="F85" s="505" t="s">
        <v>613</v>
      </c>
      <c r="G85" s="505" t="s">
        <v>614</v>
      </c>
      <c r="H85" s="506" t="s">
        <v>29</v>
      </c>
    </row>
    <row r="86" spans="1:8" ht="30.2" customHeight="1" x14ac:dyDescent="0.25">
      <c r="A86" s="509"/>
      <c r="B86" s="61" t="str">
        <f>IF($A86="","",(LOOKUP($A86,'Catchment Summary Table'!$A$4:$A$33,'Catchment Summary Table'!$B$4:$B$33)))</f>
        <v/>
      </c>
      <c r="C86" s="61" t="str">
        <f>IF($A86="","",(LOOKUP($A86,'Catchment Summary Table'!$A$4:$A$33,'Catchment Summary Table'!$C$4:$C$33)))</f>
        <v/>
      </c>
      <c r="D86" s="61" t="str">
        <f>IF($A86="","",(LOOKUP($A86,'Catchment Summary Table'!$A$4:$A$33,'Catchment Summary Table'!$D$4:$D$33)))</f>
        <v/>
      </c>
      <c r="E86" s="61" t="str">
        <f>IF($A86="","",(LOOKUP($A86,'Catchment Summary Table'!$A$4:$A$33,'Catchment Summary Table'!$E$4:$E$33)))</f>
        <v/>
      </c>
      <c r="F86" s="61" t="str">
        <f>IF($A86="","",(LOOKUP($A86,'Catchment Summary Table'!$A$4:$A$33,'Catchment Summary Table'!$F$4:$F$33)))</f>
        <v/>
      </c>
      <c r="G86" s="284" t="str">
        <f>IF(B86="","",'Total WQv Calculation'!$B$4)</f>
        <v/>
      </c>
      <c r="H86" s="510" t="str">
        <f>IF($A86="","",(LOOKUP($A86,'Catchment Summary Table'!$A$4:$A$33,'Catchment Summary Table'!$G$4:$G$33)))</f>
        <v/>
      </c>
    </row>
    <row r="87" spans="1:8" x14ac:dyDescent="0.25">
      <c r="A87" s="800" t="str">
        <f>IF(B86="","",IF(B86&gt;5,"Drainage Area Exceeds the 5 acre limit",""))</f>
        <v/>
      </c>
      <c r="B87" s="800"/>
      <c r="C87" s="800"/>
      <c r="D87" s="800"/>
      <c r="E87" s="800"/>
      <c r="F87" s="800"/>
      <c r="G87" s="800"/>
      <c r="H87" s="800"/>
    </row>
    <row r="88" spans="1:8" x14ac:dyDescent="0.25">
      <c r="A88" s="645" t="s">
        <v>505</v>
      </c>
      <c r="B88" s="645"/>
      <c r="C88" s="645"/>
      <c r="D88" s="645"/>
      <c r="E88" s="645"/>
      <c r="F88" s="645"/>
      <c r="G88" s="645"/>
      <c r="H88" s="645"/>
    </row>
    <row r="89" spans="1:8" x14ac:dyDescent="0.25">
      <c r="A89" s="1068" t="s">
        <v>507</v>
      </c>
      <c r="B89" s="1069"/>
      <c r="C89" s="365"/>
      <c r="D89" s="217" t="s">
        <v>317</v>
      </c>
      <c r="E89" s="1070" t="str">
        <f>IF(C89="","",IF(C89&gt;=0.5,"Okay","Error, Infiltration rate is too low, practice is not appropriate"))</f>
        <v/>
      </c>
      <c r="F89" s="1071"/>
      <c r="G89" s="1071"/>
      <c r="H89" s="1072"/>
    </row>
    <row r="90" spans="1:8" x14ac:dyDescent="0.25">
      <c r="A90" s="645" t="s">
        <v>120</v>
      </c>
      <c r="B90" s="645"/>
      <c r="C90" s="645"/>
      <c r="D90" s="645"/>
      <c r="E90" s="645"/>
      <c r="F90" s="645"/>
      <c r="G90" s="645"/>
      <c r="H90" s="645"/>
    </row>
    <row r="91" spans="1:8" hidden="1" x14ac:dyDescent="0.25">
      <c r="A91" s="549" t="s">
        <v>121</v>
      </c>
      <c r="B91" s="549" t="s">
        <v>122</v>
      </c>
      <c r="C91" s="549" t="s">
        <v>123</v>
      </c>
      <c r="D91" s="1073" t="s">
        <v>124</v>
      </c>
      <c r="E91" s="1073"/>
      <c r="F91" s="1073" t="s">
        <v>125</v>
      </c>
      <c r="G91" s="1073"/>
      <c r="H91" s="519"/>
    </row>
    <row r="92" spans="1:8" hidden="1" x14ac:dyDescent="0.25">
      <c r="A92" s="549" t="e">
        <f>+G86*E86</f>
        <v>#VALUE!</v>
      </c>
      <c r="B92" s="551" t="e">
        <f>+A92^2</f>
        <v>#VALUE!</v>
      </c>
      <c r="C92" s="551" t="e">
        <f>1.25*A92*G86</f>
        <v>#VALUE!</v>
      </c>
      <c r="D92" s="1077" t="e">
        <f>+(B92+C92)^0.5</f>
        <v>#VALUE!</v>
      </c>
      <c r="E92" s="1077"/>
      <c r="F92" s="1077" t="e">
        <f>+D92*10</f>
        <v>#VALUE!</v>
      </c>
      <c r="G92" s="1077"/>
      <c r="H92" s="519"/>
    </row>
    <row r="93" spans="1:8" ht="30.2" customHeight="1" x14ac:dyDescent="0.25">
      <c r="A93" s="511" t="s">
        <v>498</v>
      </c>
      <c r="B93" s="57" t="str">
        <f>IF(ISERROR(1000/(10+5*G86+10*A92-F92)),"",(1000/(10+5*G86+10*A92-F92)))</f>
        <v/>
      </c>
      <c r="C93" s="1074" t="s">
        <v>499</v>
      </c>
      <c r="D93" s="1075"/>
      <c r="E93" s="1075"/>
      <c r="F93" s="1075"/>
      <c r="G93" s="1075"/>
      <c r="H93" s="1076"/>
    </row>
    <row r="94" spans="1:8" ht="15" customHeight="1" x14ac:dyDescent="0.25">
      <c r="A94" s="276" t="s">
        <v>126</v>
      </c>
      <c r="B94" s="215" t="str">
        <f>IF(ISERROR(200/B93-2),"",200/B93-2)</f>
        <v/>
      </c>
      <c r="C94" s="1081"/>
      <c r="D94" s="1082"/>
      <c r="E94" s="1082"/>
      <c r="F94" s="1082"/>
      <c r="G94" s="1082"/>
      <c r="H94" s="1083"/>
    </row>
    <row r="95" spans="1:8" ht="15" customHeight="1" x14ac:dyDescent="0.25">
      <c r="A95" s="276" t="s">
        <v>127</v>
      </c>
      <c r="B95" s="215" t="str">
        <f>IF(ISERROR(B94/G86),"",B94/G86)</f>
        <v/>
      </c>
      <c r="C95" s="1078"/>
      <c r="D95" s="1079"/>
      <c r="E95" s="1079"/>
      <c r="F95" s="1079"/>
      <c r="G95" s="1079"/>
      <c r="H95" s="1080"/>
    </row>
    <row r="96" spans="1:8" ht="15" customHeight="1" x14ac:dyDescent="0.25">
      <c r="A96" s="276" t="s">
        <v>128</v>
      </c>
      <c r="B96" s="104"/>
      <c r="C96" s="1064" t="s">
        <v>500</v>
      </c>
      <c r="D96" s="1065"/>
      <c r="E96" s="1065"/>
      <c r="F96" s="1065"/>
      <c r="G96" s="1065"/>
      <c r="H96" s="1065"/>
    </row>
    <row r="97" spans="1:8" ht="30.2" customHeight="1" x14ac:dyDescent="0.25">
      <c r="A97" s="511" t="s">
        <v>129</v>
      </c>
      <c r="B97" s="509"/>
      <c r="C97" s="1064" t="s">
        <v>501</v>
      </c>
      <c r="D97" s="1065"/>
      <c r="E97" s="1065"/>
      <c r="F97" s="1065"/>
      <c r="G97" s="1065"/>
      <c r="H97" s="1065"/>
    </row>
    <row r="98" spans="1:8" ht="15" customHeight="1" x14ac:dyDescent="0.25">
      <c r="A98" s="276" t="s">
        <v>67</v>
      </c>
      <c r="B98" s="61" t="str">
        <f>IF(ISERROR((B86/640)*A92*B97 ),"",((B86/640)*A92*B97))</f>
        <v/>
      </c>
      <c r="C98" s="531" t="s">
        <v>130</v>
      </c>
      <c r="D98" s="1066"/>
      <c r="E98" s="646"/>
      <c r="F98" s="646"/>
      <c r="G98" s="646"/>
      <c r="H98" s="1067"/>
    </row>
    <row r="99" spans="1:8" ht="15" customHeight="1" x14ac:dyDescent="0.25">
      <c r="A99" s="548" t="s">
        <v>131</v>
      </c>
      <c r="B99" s="509"/>
      <c r="C99" s="516" t="s">
        <v>130</v>
      </c>
      <c r="D99" s="814" t="s">
        <v>347</v>
      </c>
      <c r="E99" s="814"/>
      <c r="F99" s="814"/>
      <c r="G99" s="814"/>
      <c r="H99" s="814"/>
    </row>
    <row r="100" spans="1:8" ht="15" customHeight="1" x14ac:dyDescent="0.25">
      <c r="A100" s="645" t="s">
        <v>132</v>
      </c>
      <c r="B100" s="645"/>
      <c r="C100" s="645"/>
      <c r="D100" s="645"/>
      <c r="E100" s="645"/>
      <c r="F100" s="645"/>
      <c r="G100" s="645"/>
      <c r="H100" s="645"/>
    </row>
    <row r="101" spans="1:8" ht="15" customHeight="1" x14ac:dyDescent="0.25">
      <c r="A101" s="1062" t="s">
        <v>10</v>
      </c>
      <c r="B101" s="1062"/>
      <c r="C101" s="509"/>
      <c r="D101" s="512" t="s">
        <v>12</v>
      </c>
      <c r="E101" s="1092" t="s">
        <v>340</v>
      </c>
      <c r="F101" s="1093"/>
      <c r="G101" s="1093"/>
      <c r="H101" s="1094"/>
    </row>
    <row r="102" spans="1:8" ht="15" customHeight="1" x14ac:dyDescent="0.25">
      <c r="A102" s="1062" t="s">
        <v>133</v>
      </c>
      <c r="B102" s="1062"/>
      <c r="C102" s="103"/>
      <c r="D102" s="512" t="s">
        <v>337</v>
      </c>
      <c r="E102" s="1070" t="str">
        <f>IF(C102="","",IF(C102&lt;3,"Error:  side slopes no steeper than 3:1","Okay"))</f>
        <v/>
      </c>
      <c r="F102" s="1071"/>
      <c r="G102" s="1071"/>
      <c r="H102" s="1072"/>
    </row>
    <row r="103" spans="1:8" ht="15" customHeight="1" x14ac:dyDescent="0.25">
      <c r="A103" s="1062" t="s">
        <v>480</v>
      </c>
      <c r="B103" s="1062"/>
      <c r="C103" s="509"/>
      <c r="D103" s="512" t="s">
        <v>12</v>
      </c>
      <c r="E103" s="1092"/>
      <c r="F103" s="1093"/>
      <c r="G103" s="1093"/>
      <c r="H103" s="1094"/>
    </row>
    <row r="104" spans="1:8" ht="15" customHeight="1" x14ac:dyDescent="0.25">
      <c r="A104" s="1062" t="s">
        <v>479</v>
      </c>
      <c r="B104" s="1062"/>
      <c r="C104" s="104"/>
      <c r="D104" s="512" t="s">
        <v>12</v>
      </c>
      <c r="E104" s="588" t="str">
        <f>IF(C104="","",IF(C104&gt;4/12,"Error:  Convey the peak WQv at a flow depth of 4 inches or less","Okay"))</f>
        <v/>
      </c>
      <c r="F104" s="589"/>
      <c r="G104" s="589"/>
      <c r="H104" s="590"/>
    </row>
    <row r="105" spans="1:8" ht="15" customHeight="1" x14ac:dyDescent="0.25">
      <c r="A105" s="1062" t="s">
        <v>134</v>
      </c>
      <c r="B105" s="1062"/>
      <c r="C105" s="144"/>
      <c r="D105" s="512"/>
      <c r="E105" s="902" t="s">
        <v>339</v>
      </c>
      <c r="F105" s="903"/>
      <c r="G105" s="903"/>
      <c r="H105" s="904"/>
    </row>
    <row r="106" spans="1:8" ht="15" customHeight="1" x14ac:dyDescent="0.25">
      <c r="A106" s="1062" t="s">
        <v>531</v>
      </c>
      <c r="B106" s="1062"/>
      <c r="C106" s="147"/>
      <c r="D106" s="512" t="s">
        <v>12</v>
      </c>
      <c r="E106" s="902"/>
      <c r="F106" s="903"/>
      <c r="G106" s="903"/>
      <c r="H106" s="904"/>
    </row>
    <row r="107" spans="1:8" ht="15" customHeight="1" x14ac:dyDescent="0.25">
      <c r="A107" s="1062" t="s">
        <v>136</v>
      </c>
      <c r="B107" s="1062"/>
      <c r="C107" s="147"/>
      <c r="D107" s="512"/>
      <c r="E107" s="902" t="s">
        <v>341</v>
      </c>
      <c r="F107" s="903"/>
      <c r="G107" s="903"/>
      <c r="H107" s="904"/>
    </row>
    <row r="108" spans="1:8" x14ac:dyDescent="0.25">
      <c r="A108" s="645" t="s">
        <v>571</v>
      </c>
      <c r="B108" s="645"/>
      <c r="C108" s="645"/>
      <c r="D108" s="645"/>
      <c r="E108" s="645"/>
      <c r="F108" s="645"/>
      <c r="G108" s="645"/>
      <c r="H108" s="645"/>
    </row>
    <row r="109" spans="1:8" x14ac:dyDescent="0.25">
      <c r="A109" s="574" t="s">
        <v>72</v>
      </c>
      <c r="B109" s="309">
        <f>+C101+(2*C102)*C104</f>
        <v>0</v>
      </c>
      <c r="C109" s="575"/>
      <c r="D109" s="1068" t="s">
        <v>121</v>
      </c>
      <c r="E109" s="1084"/>
      <c r="F109" s="216" t="str">
        <f>IF(ISERROR((1.49/C107)*B110*((B110/B111)^(2/3))*C105^0.5),"",(1.49/C107)*B110*((B110/B111)^(2/3))*C105^0.5)</f>
        <v/>
      </c>
      <c r="G109" s="550"/>
      <c r="H109" s="547"/>
    </row>
    <row r="110" spans="1:8" x14ac:dyDescent="0.25">
      <c r="A110" s="574" t="s">
        <v>4</v>
      </c>
      <c r="B110" s="61">
        <f>C101*C104+C102*C104^2</f>
        <v>0</v>
      </c>
      <c r="C110" s="575" t="s">
        <v>530</v>
      </c>
      <c r="D110" s="1068" t="s">
        <v>342</v>
      </c>
      <c r="E110" s="1084"/>
      <c r="F110" s="61" t="str">
        <f>IF(ISERROR(+F109/B110),"",+F109/B110)</f>
        <v/>
      </c>
      <c r="G110" s="553" t="s">
        <v>338</v>
      </c>
      <c r="H110" s="310"/>
    </row>
    <row r="111" spans="1:8" ht="25.5" x14ac:dyDescent="0.25">
      <c r="A111" s="574" t="s">
        <v>135</v>
      </c>
      <c r="B111" s="61">
        <f>C101+((C104^2+(C102*C104)^2)^0.5)*2</f>
        <v>0</v>
      </c>
      <c r="C111" s="575" t="s">
        <v>12</v>
      </c>
      <c r="D111" s="1068" t="s">
        <v>137</v>
      </c>
      <c r="E111" s="1084"/>
      <c r="F111" s="61" t="str">
        <f>IF(ISERROR((C106/F110)/60),"",((C106/F110)/60))</f>
        <v/>
      </c>
      <c r="G111" s="553" t="s">
        <v>343</v>
      </c>
      <c r="H111" s="310"/>
    </row>
    <row r="112" spans="1:8" x14ac:dyDescent="0.25">
      <c r="A112" s="645" t="s">
        <v>569</v>
      </c>
      <c r="B112" s="645"/>
      <c r="C112" s="645"/>
      <c r="D112" s="645"/>
      <c r="E112" s="1085"/>
      <c r="F112" s="1085"/>
      <c r="G112" s="1085"/>
      <c r="H112" s="1085"/>
    </row>
    <row r="113" spans="1:8" x14ac:dyDescent="0.25">
      <c r="A113" s="1062" t="s">
        <v>478</v>
      </c>
      <c r="B113" s="1062"/>
      <c r="C113" s="61" t="str">
        <f>IF(ISERROR(F111*60*F110),"",F111*60*F110)</f>
        <v/>
      </c>
      <c r="D113" s="552" t="s">
        <v>12</v>
      </c>
      <c r="E113" s="595"/>
      <c r="F113" s="596"/>
      <c r="G113" s="596"/>
      <c r="H113" s="597"/>
    </row>
    <row r="114" spans="1:8" x14ac:dyDescent="0.25">
      <c r="A114" s="1062" t="s">
        <v>481</v>
      </c>
      <c r="B114" s="1062"/>
      <c r="C114" s="104"/>
      <c r="D114" s="552" t="s">
        <v>12</v>
      </c>
      <c r="E114" s="598"/>
      <c r="F114" s="592"/>
      <c r="G114" s="592"/>
      <c r="H114" s="599"/>
    </row>
    <row r="115" spans="1:8" x14ac:dyDescent="0.25">
      <c r="A115" s="1063" t="s">
        <v>344</v>
      </c>
      <c r="B115" s="1063"/>
      <c r="C115" s="104"/>
      <c r="D115" s="591" t="s">
        <v>338</v>
      </c>
      <c r="E115" s="600"/>
      <c r="F115" s="593"/>
      <c r="G115" s="593"/>
      <c r="H115" s="601"/>
    </row>
    <row r="116" spans="1:8" x14ac:dyDescent="0.25">
      <c r="A116" s="1063" t="s">
        <v>345</v>
      </c>
      <c r="B116" s="1063"/>
      <c r="C116" s="104"/>
      <c r="D116" s="591" t="s">
        <v>206</v>
      </c>
      <c r="E116" s="602"/>
      <c r="F116" s="594"/>
      <c r="G116" s="594"/>
      <c r="H116" s="603"/>
    </row>
    <row r="117" spans="1:8" x14ac:dyDescent="0.25">
      <c r="A117" s="1063" t="s">
        <v>346</v>
      </c>
      <c r="B117" s="1063"/>
      <c r="C117" s="104"/>
      <c r="D117" s="591" t="s">
        <v>206</v>
      </c>
      <c r="E117" s="604"/>
      <c r="F117" s="605"/>
      <c r="G117" s="605"/>
      <c r="H117" s="606"/>
    </row>
    <row r="118" spans="1:8" x14ac:dyDescent="0.25">
      <c r="A118" s="1086" t="s">
        <v>88</v>
      </c>
      <c r="B118" s="1086"/>
      <c r="C118" s="1086"/>
      <c r="D118" s="1086"/>
      <c r="E118" s="1087"/>
      <c r="F118" s="1087"/>
      <c r="G118" s="1087"/>
      <c r="H118" s="1087"/>
    </row>
    <row r="119" spans="1:8" x14ac:dyDescent="0.25">
      <c r="A119" s="511" t="s">
        <v>216</v>
      </c>
      <c r="B119" s="509"/>
      <c r="C119" s="1058" t="s">
        <v>456</v>
      </c>
      <c r="D119" s="1058"/>
      <c r="E119" s="61">
        <f>IF(B119="A",0.2,0)+IF(B119="B",0.2,0)+IF(B119="C",0.1,0)+IF(B119="D",0.1,0)+IF(B119="Modified C",0.15,0)+IF(B119="Modified D",0.12,0)</f>
        <v>0</v>
      </c>
      <c r="F119" s="727"/>
      <c r="G119" s="728"/>
      <c r="H119" s="729"/>
    </row>
    <row r="120" spans="1:8" ht="30.2" customHeight="1" x14ac:dyDescent="0.25">
      <c r="A120" s="1059" t="s">
        <v>572</v>
      </c>
      <c r="B120" s="1059"/>
      <c r="C120" s="1059"/>
      <c r="D120" s="366"/>
      <c r="E120" s="1060" t="s">
        <v>560</v>
      </c>
      <c r="F120" s="1060"/>
      <c r="G120" s="1061"/>
      <c r="H120" s="1061"/>
    </row>
    <row r="121" spans="1:8" x14ac:dyDescent="0.25">
      <c r="A121" s="1088" t="s">
        <v>32</v>
      </c>
      <c r="B121" s="1088"/>
      <c r="C121" s="1088"/>
      <c r="D121" s="312" t="str">
        <f>IF(ISERROR(E119*F86),"",(E119*F86))</f>
        <v/>
      </c>
      <c r="E121" s="538" t="s">
        <v>145</v>
      </c>
      <c r="F121" s="1089"/>
      <c r="G121" s="1089"/>
      <c r="H121" s="1089"/>
    </row>
    <row r="122" spans="1:8" ht="30.2" customHeight="1" x14ac:dyDescent="0.25">
      <c r="A122" s="1090" t="s">
        <v>544</v>
      </c>
      <c r="B122" s="1090"/>
      <c r="C122" s="1090"/>
      <c r="D122" s="607" t="str">
        <f>IF(ISERROR(F86-D121 ),"",(F86-D121 ))</f>
        <v/>
      </c>
      <c r="E122" s="608" t="s">
        <v>145</v>
      </c>
      <c r="F122" s="1091"/>
      <c r="G122" s="1091"/>
      <c r="H122" s="1091"/>
    </row>
    <row r="123" spans="1:8" s="1" customFormat="1" ht="15" customHeight="1" x14ac:dyDescent="0.25">
      <c r="A123" s="609"/>
      <c r="B123" s="609"/>
      <c r="C123" s="609"/>
      <c r="D123" s="610"/>
      <c r="E123" s="611"/>
      <c r="F123" s="612"/>
      <c r="G123" s="612"/>
      <c r="H123" s="612"/>
    </row>
    <row r="124" spans="1:8" x14ac:dyDescent="0.25">
      <c r="A124" s="561" t="s">
        <v>600</v>
      </c>
      <c r="B124" s="562" t="str">
        <f>IF('Total WQv Calculation'!$B$3="","",'Total WQv Calculation'!$B$3)</f>
        <v/>
      </c>
      <c r="C124" s="164"/>
      <c r="D124" s="164"/>
      <c r="E124" s="164"/>
      <c r="F124" s="164"/>
      <c r="G124" s="164"/>
      <c r="H124" s="164"/>
    </row>
    <row r="125" spans="1:8" x14ac:dyDescent="0.25">
      <c r="A125" s="645" t="s">
        <v>79</v>
      </c>
      <c r="B125" s="645"/>
      <c r="C125" s="645"/>
      <c r="D125" s="645"/>
      <c r="E125" s="645"/>
      <c r="F125" s="645"/>
      <c r="G125" s="645"/>
      <c r="H125" s="645"/>
    </row>
    <row r="126" spans="1:8" ht="60" x14ac:dyDescent="0.25">
      <c r="A126" s="504" t="s">
        <v>493</v>
      </c>
      <c r="B126" s="505" t="s">
        <v>610</v>
      </c>
      <c r="C126" s="578" t="s">
        <v>611</v>
      </c>
      <c r="D126" s="505" t="s">
        <v>612</v>
      </c>
      <c r="E126" s="505" t="s">
        <v>7</v>
      </c>
      <c r="F126" s="505" t="s">
        <v>613</v>
      </c>
      <c r="G126" s="505" t="s">
        <v>614</v>
      </c>
      <c r="H126" s="506" t="s">
        <v>29</v>
      </c>
    </row>
    <row r="127" spans="1:8" ht="30.2" customHeight="1" x14ac:dyDescent="0.25">
      <c r="A127" s="509"/>
      <c r="B127" s="61" t="str">
        <f>IF($A127="","",(LOOKUP($A127,'Catchment Summary Table'!$A$4:$A$33,'Catchment Summary Table'!$B$4:$B$33)))</f>
        <v/>
      </c>
      <c r="C127" s="61" t="str">
        <f>IF($A127="","",(LOOKUP($A127,'Catchment Summary Table'!$A$4:$A$33,'Catchment Summary Table'!$C$4:$C$33)))</f>
        <v/>
      </c>
      <c r="D127" s="61" t="str">
        <f>IF($A127="","",(LOOKUP($A127,'Catchment Summary Table'!$A$4:$A$33,'Catchment Summary Table'!$D$4:$D$33)))</f>
        <v/>
      </c>
      <c r="E127" s="61" t="str">
        <f>IF($A127="","",(LOOKUP($A127,'Catchment Summary Table'!$A$4:$A$33,'Catchment Summary Table'!$E$4:$E$33)))</f>
        <v/>
      </c>
      <c r="F127" s="61" t="str">
        <f>IF($A127="","",(LOOKUP($A127,'Catchment Summary Table'!$A$4:$A$33,'Catchment Summary Table'!$F$4:$F$33)))</f>
        <v/>
      </c>
      <c r="G127" s="284" t="str">
        <f>IF(B127="","",'Total WQv Calculation'!$B$4)</f>
        <v/>
      </c>
      <c r="H127" s="510" t="str">
        <f>IF($A127="","",(LOOKUP($A127,'Catchment Summary Table'!$A$4:$A$33,'Catchment Summary Table'!$G$4:$G$33)))</f>
        <v/>
      </c>
    </row>
    <row r="128" spans="1:8" ht="15" customHeight="1" x14ac:dyDescent="0.25">
      <c r="A128" s="800" t="str">
        <f>IF(B127="","",IF(B127&gt;5,"Drainage Area Exceeds the 5 acre limit",""))</f>
        <v/>
      </c>
      <c r="B128" s="800"/>
      <c r="C128" s="800"/>
      <c r="D128" s="800"/>
      <c r="E128" s="800"/>
      <c r="F128" s="800"/>
      <c r="G128" s="800"/>
      <c r="H128" s="800"/>
    </row>
    <row r="129" spans="1:8" ht="15" customHeight="1" x14ac:dyDescent="0.25">
      <c r="A129" s="645" t="s">
        <v>505</v>
      </c>
      <c r="B129" s="645"/>
      <c r="C129" s="645"/>
      <c r="D129" s="645"/>
      <c r="E129" s="645"/>
      <c r="F129" s="645"/>
      <c r="G129" s="645"/>
      <c r="H129" s="645"/>
    </row>
    <row r="130" spans="1:8" ht="15" customHeight="1" x14ac:dyDescent="0.25">
      <c r="A130" s="1068" t="s">
        <v>507</v>
      </c>
      <c r="B130" s="1069"/>
      <c r="C130" s="365"/>
      <c r="D130" s="217" t="s">
        <v>317</v>
      </c>
      <c r="E130" s="1070" t="str">
        <f>IF(C130="","",IF(C130&gt;=0.5,"Okay","Error, Infiltration rate is too low, practice is not appropriate"))</f>
        <v/>
      </c>
      <c r="F130" s="1071"/>
      <c r="G130" s="1071"/>
      <c r="H130" s="1072"/>
    </row>
    <row r="131" spans="1:8" ht="15" customHeight="1" x14ac:dyDescent="0.25">
      <c r="A131" s="645" t="s">
        <v>120</v>
      </c>
      <c r="B131" s="645"/>
      <c r="C131" s="645"/>
      <c r="D131" s="645"/>
      <c r="E131" s="645"/>
      <c r="F131" s="645"/>
      <c r="G131" s="645"/>
      <c r="H131" s="645"/>
    </row>
    <row r="132" spans="1:8" ht="15" hidden="1" customHeight="1" x14ac:dyDescent="0.25">
      <c r="A132" s="549" t="s">
        <v>121</v>
      </c>
      <c r="B132" s="549" t="s">
        <v>122</v>
      </c>
      <c r="C132" s="549" t="s">
        <v>123</v>
      </c>
      <c r="D132" s="1073" t="s">
        <v>124</v>
      </c>
      <c r="E132" s="1073"/>
      <c r="F132" s="1073" t="s">
        <v>125</v>
      </c>
      <c r="G132" s="1073"/>
      <c r="H132" s="519"/>
    </row>
    <row r="133" spans="1:8" ht="15" hidden="1" customHeight="1" x14ac:dyDescent="0.25">
      <c r="A133" s="549" t="e">
        <f>+G127*E127</f>
        <v>#VALUE!</v>
      </c>
      <c r="B133" s="551" t="e">
        <f>+A133^2</f>
        <v>#VALUE!</v>
      </c>
      <c r="C133" s="551" t="e">
        <f>1.25*A133*G127</f>
        <v>#VALUE!</v>
      </c>
      <c r="D133" s="1077" t="e">
        <f>+(B133+C133)^0.5</f>
        <v>#VALUE!</v>
      </c>
      <c r="E133" s="1077"/>
      <c r="F133" s="1077" t="e">
        <f>+D133*10</f>
        <v>#VALUE!</v>
      </c>
      <c r="G133" s="1077"/>
      <c r="H133" s="519"/>
    </row>
    <row r="134" spans="1:8" ht="30.2" customHeight="1" x14ac:dyDescent="0.25">
      <c r="A134" s="511" t="s">
        <v>498</v>
      </c>
      <c r="B134" s="57" t="str">
        <f>IF(ISERROR(1000/(10+5*G127+10*A133-F133)),"",(1000/(10+5*G127+10*A133-F133)))</f>
        <v/>
      </c>
      <c r="C134" s="1074" t="s">
        <v>499</v>
      </c>
      <c r="D134" s="1075"/>
      <c r="E134" s="1075"/>
      <c r="F134" s="1075"/>
      <c r="G134" s="1075"/>
      <c r="H134" s="1076"/>
    </row>
    <row r="135" spans="1:8" ht="15" customHeight="1" x14ac:dyDescent="0.25">
      <c r="A135" s="276" t="s">
        <v>126</v>
      </c>
      <c r="B135" s="215" t="str">
        <f>IF(ISERROR(200/B134-2),"",200/B134-2)</f>
        <v/>
      </c>
      <c r="C135" s="1081"/>
      <c r="D135" s="1082"/>
      <c r="E135" s="1082"/>
      <c r="F135" s="1082"/>
      <c r="G135" s="1082"/>
      <c r="H135" s="1083"/>
    </row>
    <row r="136" spans="1:8" ht="15" customHeight="1" x14ac:dyDescent="0.25">
      <c r="A136" s="276" t="s">
        <v>127</v>
      </c>
      <c r="B136" s="215" t="str">
        <f>IF(ISERROR(B135/G127),"",B135/G127)</f>
        <v/>
      </c>
      <c r="C136" s="1078"/>
      <c r="D136" s="1079"/>
      <c r="E136" s="1079"/>
      <c r="F136" s="1079"/>
      <c r="G136" s="1079"/>
      <c r="H136" s="1080"/>
    </row>
    <row r="137" spans="1:8" ht="15" customHeight="1" x14ac:dyDescent="0.25">
      <c r="A137" s="276" t="s">
        <v>128</v>
      </c>
      <c r="B137" s="104"/>
      <c r="C137" s="1064" t="s">
        <v>500</v>
      </c>
      <c r="D137" s="1065"/>
      <c r="E137" s="1065"/>
      <c r="F137" s="1065"/>
      <c r="G137" s="1065"/>
      <c r="H137" s="1065"/>
    </row>
    <row r="138" spans="1:8" ht="30.2" customHeight="1" x14ac:dyDescent="0.25">
      <c r="A138" s="511" t="s">
        <v>129</v>
      </c>
      <c r="B138" s="509"/>
      <c r="C138" s="1064" t="s">
        <v>501</v>
      </c>
      <c r="D138" s="1065"/>
      <c r="E138" s="1065"/>
      <c r="F138" s="1065"/>
      <c r="G138" s="1065"/>
      <c r="H138" s="1065"/>
    </row>
    <row r="139" spans="1:8" ht="15" customHeight="1" x14ac:dyDescent="0.25">
      <c r="A139" s="276" t="s">
        <v>67</v>
      </c>
      <c r="B139" s="61" t="str">
        <f>IF(ISERROR((B127/640)*A133*B138 ),"",((B127/640)*A133*B138))</f>
        <v/>
      </c>
      <c r="C139" s="531" t="s">
        <v>130</v>
      </c>
      <c r="D139" s="1066"/>
      <c r="E139" s="646"/>
      <c r="F139" s="646"/>
      <c r="G139" s="646"/>
      <c r="H139" s="1067"/>
    </row>
    <row r="140" spans="1:8" ht="15" customHeight="1" x14ac:dyDescent="0.25">
      <c r="A140" s="548" t="s">
        <v>131</v>
      </c>
      <c r="B140" s="509"/>
      <c r="C140" s="516" t="s">
        <v>130</v>
      </c>
      <c r="D140" s="814" t="s">
        <v>347</v>
      </c>
      <c r="E140" s="814"/>
      <c r="F140" s="814"/>
      <c r="G140" s="814"/>
      <c r="H140" s="814"/>
    </row>
    <row r="141" spans="1:8" ht="15" customHeight="1" x14ac:dyDescent="0.25">
      <c r="A141" s="645" t="s">
        <v>132</v>
      </c>
      <c r="B141" s="645"/>
      <c r="C141" s="645"/>
      <c r="D141" s="645"/>
      <c r="E141" s="645"/>
      <c r="F141" s="645"/>
      <c r="G141" s="645"/>
      <c r="H141" s="645"/>
    </row>
    <row r="142" spans="1:8" ht="15" customHeight="1" x14ac:dyDescent="0.25">
      <c r="A142" s="1062" t="s">
        <v>10</v>
      </c>
      <c r="B142" s="1062"/>
      <c r="C142" s="509"/>
      <c r="D142" s="512" t="s">
        <v>12</v>
      </c>
      <c r="E142" s="1092" t="s">
        <v>340</v>
      </c>
      <c r="F142" s="1093"/>
      <c r="G142" s="1093"/>
      <c r="H142" s="1094"/>
    </row>
    <row r="143" spans="1:8" ht="15" customHeight="1" x14ac:dyDescent="0.25">
      <c r="A143" s="1062" t="s">
        <v>133</v>
      </c>
      <c r="B143" s="1062"/>
      <c r="C143" s="103"/>
      <c r="D143" s="512" t="s">
        <v>337</v>
      </c>
      <c r="E143" s="1070" t="str">
        <f>IF(C143="","",IF(C143&lt;3,"Error:  side slopes no steeper than 3:1","Okay"))</f>
        <v/>
      </c>
      <c r="F143" s="1071"/>
      <c r="G143" s="1071"/>
      <c r="H143" s="1072"/>
    </row>
    <row r="144" spans="1:8" ht="15" customHeight="1" x14ac:dyDescent="0.25">
      <c r="A144" s="1062" t="s">
        <v>480</v>
      </c>
      <c r="B144" s="1062"/>
      <c r="C144" s="509"/>
      <c r="D144" s="512" t="s">
        <v>12</v>
      </c>
      <c r="E144" s="1092"/>
      <c r="F144" s="1093"/>
      <c r="G144" s="1093"/>
      <c r="H144" s="1094"/>
    </row>
    <row r="145" spans="1:8" ht="15" customHeight="1" x14ac:dyDescent="0.25">
      <c r="A145" s="1062" t="s">
        <v>479</v>
      </c>
      <c r="B145" s="1062"/>
      <c r="C145" s="104"/>
      <c r="D145" s="512" t="s">
        <v>12</v>
      </c>
      <c r="E145" s="588" t="str">
        <f>IF(C145="","",IF(C145&gt;4/12,"Error:  Convey the peak WQv at a flow depth of 4 inches or less","Okay"))</f>
        <v/>
      </c>
      <c r="F145" s="589"/>
      <c r="G145" s="589"/>
      <c r="H145" s="590"/>
    </row>
    <row r="146" spans="1:8" ht="15" customHeight="1" x14ac:dyDescent="0.25">
      <c r="A146" s="1062" t="s">
        <v>134</v>
      </c>
      <c r="B146" s="1062"/>
      <c r="C146" s="144"/>
      <c r="D146" s="512"/>
      <c r="E146" s="902" t="s">
        <v>339</v>
      </c>
      <c r="F146" s="903"/>
      <c r="G146" s="903"/>
      <c r="H146" s="904"/>
    </row>
    <row r="147" spans="1:8" ht="15" customHeight="1" x14ac:dyDescent="0.25">
      <c r="A147" s="1062" t="s">
        <v>531</v>
      </c>
      <c r="B147" s="1062"/>
      <c r="C147" s="147"/>
      <c r="D147" s="512" t="s">
        <v>12</v>
      </c>
      <c r="E147" s="902"/>
      <c r="F147" s="903"/>
      <c r="G147" s="903"/>
      <c r="H147" s="904"/>
    </row>
    <row r="148" spans="1:8" ht="15" customHeight="1" x14ac:dyDescent="0.25">
      <c r="A148" s="1062" t="s">
        <v>136</v>
      </c>
      <c r="B148" s="1062"/>
      <c r="C148" s="147"/>
      <c r="D148" s="512"/>
      <c r="E148" s="902" t="s">
        <v>341</v>
      </c>
      <c r="F148" s="903"/>
      <c r="G148" s="903"/>
      <c r="H148" s="904"/>
    </row>
    <row r="149" spans="1:8" ht="15" customHeight="1" x14ac:dyDescent="0.25">
      <c r="A149" s="645" t="s">
        <v>571</v>
      </c>
      <c r="B149" s="645"/>
      <c r="C149" s="645"/>
      <c r="D149" s="645"/>
      <c r="E149" s="645"/>
      <c r="F149" s="645"/>
      <c r="G149" s="645"/>
      <c r="H149" s="645"/>
    </row>
    <row r="150" spans="1:8" ht="15" customHeight="1" x14ac:dyDescent="0.25">
      <c r="A150" s="574" t="s">
        <v>72</v>
      </c>
      <c r="B150" s="309">
        <f>+C142+(2*C143)*C145</f>
        <v>0</v>
      </c>
      <c r="C150" s="575"/>
      <c r="D150" s="1068" t="s">
        <v>121</v>
      </c>
      <c r="E150" s="1084"/>
      <c r="F150" s="216" t="str">
        <f>IF(ISERROR((1.49/C148)*B151*((B151/B152)^(2/3))*C146^0.5),"",(1.49/C148)*B151*((B151/B152)^(2/3))*C146^0.5)</f>
        <v/>
      </c>
      <c r="G150" s="550"/>
      <c r="H150" s="547"/>
    </row>
    <row r="151" spans="1:8" ht="15" customHeight="1" x14ac:dyDescent="0.25">
      <c r="A151" s="574" t="s">
        <v>4</v>
      </c>
      <c r="B151" s="61">
        <f>C142*C145+C143*C145^2</f>
        <v>0</v>
      </c>
      <c r="C151" s="575" t="s">
        <v>530</v>
      </c>
      <c r="D151" s="1068" t="s">
        <v>342</v>
      </c>
      <c r="E151" s="1084"/>
      <c r="F151" s="61" t="str">
        <f>IF(ISERROR(+F150/B151),"",+F150/B151)</f>
        <v/>
      </c>
      <c r="G151" s="553" t="s">
        <v>338</v>
      </c>
      <c r="H151" s="310"/>
    </row>
    <row r="152" spans="1:8" ht="30.2" customHeight="1" x14ac:dyDescent="0.25">
      <c r="A152" s="574" t="s">
        <v>135</v>
      </c>
      <c r="B152" s="61">
        <f>C142+((C145^2+(C143*C145)^2)^0.5)*2</f>
        <v>0</v>
      </c>
      <c r="C152" s="575" t="s">
        <v>12</v>
      </c>
      <c r="D152" s="1068" t="s">
        <v>137</v>
      </c>
      <c r="E152" s="1084"/>
      <c r="F152" s="61" t="str">
        <f>IF(ISERROR((C147/F151)/60),"",((C147/F151)/60))</f>
        <v/>
      </c>
      <c r="G152" s="553" t="s">
        <v>343</v>
      </c>
      <c r="H152" s="310"/>
    </row>
    <row r="153" spans="1:8" x14ac:dyDescent="0.25">
      <c r="A153" s="645" t="s">
        <v>569</v>
      </c>
      <c r="B153" s="645"/>
      <c r="C153" s="645"/>
      <c r="D153" s="645"/>
      <c r="E153" s="1085"/>
      <c r="F153" s="1085"/>
      <c r="G153" s="1085"/>
      <c r="H153" s="1085"/>
    </row>
    <row r="154" spans="1:8" x14ac:dyDescent="0.25">
      <c r="A154" s="1062" t="s">
        <v>478</v>
      </c>
      <c r="B154" s="1062"/>
      <c r="C154" s="61" t="str">
        <f>IF(ISERROR(F152*60*F151),"",F152*60*F151)</f>
        <v/>
      </c>
      <c r="D154" s="552" t="s">
        <v>12</v>
      </c>
      <c r="E154" s="595"/>
      <c r="F154" s="596"/>
      <c r="G154" s="596"/>
      <c r="H154" s="597"/>
    </row>
    <row r="155" spans="1:8" x14ac:dyDescent="0.25">
      <c r="A155" s="1062" t="s">
        <v>481</v>
      </c>
      <c r="B155" s="1062"/>
      <c r="C155" s="104"/>
      <c r="D155" s="552" t="s">
        <v>12</v>
      </c>
      <c r="E155" s="598"/>
      <c r="F155" s="592"/>
      <c r="G155" s="592"/>
      <c r="H155" s="599"/>
    </row>
    <row r="156" spans="1:8" x14ac:dyDescent="0.25">
      <c r="A156" s="1063" t="s">
        <v>344</v>
      </c>
      <c r="B156" s="1063"/>
      <c r="C156" s="104"/>
      <c r="D156" s="591" t="s">
        <v>338</v>
      </c>
      <c r="E156" s="600"/>
      <c r="F156" s="593"/>
      <c r="G156" s="593"/>
      <c r="H156" s="601"/>
    </row>
    <row r="157" spans="1:8" x14ac:dyDescent="0.25">
      <c r="A157" s="1063" t="s">
        <v>345</v>
      </c>
      <c r="B157" s="1063"/>
      <c r="C157" s="104"/>
      <c r="D157" s="591" t="s">
        <v>206</v>
      </c>
      <c r="E157" s="602"/>
      <c r="F157" s="594"/>
      <c r="G157" s="594"/>
      <c r="H157" s="603"/>
    </row>
    <row r="158" spans="1:8" x14ac:dyDescent="0.25">
      <c r="A158" s="1063" t="s">
        <v>346</v>
      </c>
      <c r="B158" s="1063"/>
      <c r="C158" s="104"/>
      <c r="D158" s="591" t="s">
        <v>206</v>
      </c>
      <c r="E158" s="604"/>
      <c r="F158" s="605"/>
      <c r="G158" s="605"/>
      <c r="H158" s="606"/>
    </row>
    <row r="159" spans="1:8" x14ac:dyDescent="0.25">
      <c r="A159" s="1086" t="s">
        <v>88</v>
      </c>
      <c r="B159" s="1086"/>
      <c r="C159" s="1086"/>
      <c r="D159" s="1086"/>
      <c r="E159" s="1087"/>
      <c r="F159" s="1087"/>
      <c r="G159" s="1087"/>
      <c r="H159" s="1087"/>
    </row>
    <row r="160" spans="1:8" x14ac:dyDescent="0.25">
      <c r="A160" s="511" t="s">
        <v>216</v>
      </c>
      <c r="B160" s="509"/>
      <c r="C160" s="1058" t="s">
        <v>456</v>
      </c>
      <c r="D160" s="1058"/>
      <c r="E160" s="61">
        <f>IF(B160="A",0.2,0)+IF(B160="B",0.2,0)+IF(B160="C",0.1,0)+IF(B160="D",0.1,0)+IF(B160="Modified C",0.15,0)+IF(B160="Modified D",0.12,0)</f>
        <v>0</v>
      </c>
      <c r="F160" s="727"/>
      <c r="G160" s="728"/>
      <c r="H160" s="729"/>
    </row>
    <row r="161" spans="1:8" x14ac:dyDescent="0.25">
      <c r="A161" s="1059" t="s">
        <v>572</v>
      </c>
      <c r="B161" s="1059"/>
      <c r="C161" s="1059"/>
      <c r="D161" s="366"/>
      <c r="E161" s="1060" t="s">
        <v>560</v>
      </c>
      <c r="F161" s="1060"/>
      <c r="G161" s="1061"/>
      <c r="H161" s="1061"/>
    </row>
    <row r="162" spans="1:8" x14ac:dyDescent="0.25">
      <c r="A162" s="1088" t="s">
        <v>32</v>
      </c>
      <c r="B162" s="1088"/>
      <c r="C162" s="1088"/>
      <c r="D162" s="312" t="str">
        <f>IF(ISERROR(E160*F127),"",(E160*F127))</f>
        <v/>
      </c>
      <c r="E162" s="538" t="s">
        <v>145</v>
      </c>
      <c r="F162" s="1089"/>
      <c r="G162" s="1089"/>
      <c r="H162" s="1089"/>
    </row>
    <row r="163" spans="1:8" ht="30.2" customHeight="1" x14ac:dyDescent="0.25">
      <c r="A163" s="1095" t="s">
        <v>544</v>
      </c>
      <c r="B163" s="1095"/>
      <c r="C163" s="1095"/>
      <c r="D163" s="313" t="str">
        <f>IF(ISERROR(F127-D162 ),"",(F127-D162 ))</f>
        <v/>
      </c>
      <c r="E163" s="513" t="s">
        <v>145</v>
      </c>
      <c r="F163" s="1096"/>
      <c r="G163" s="1096"/>
      <c r="H163" s="1096"/>
    </row>
  </sheetData>
  <sheetProtection password="C7D7" sheet="1" objects="1" scenarios="1" formatColumns="0" formatRows="0"/>
  <mergeCells count="204">
    <mergeCell ref="A24:B24"/>
    <mergeCell ref="E24:H24"/>
    <mergeCell ref="A25:B25"/>
    <mergeCell ref="E25:H25"/>
    <mergeCell ref="A49:H49"/>
    <mergeCell ref="D50:E50"/>
    <mergeCell ref="F50:G50"/>
    <mergeCell ref="D51:E51"/>
    <mergeCell ref="F51:G51"/>
    <mergeCell ref="A43:H43"/>
    <mergeCell ref="A46:H46"/>
    <mergeCell ref="A47:H47"/>
    <mergeCell ref="A48:B48"/>
    <mergeCell ref="E48:H48"/>
    <mergeCell ref="A39:C39"/>
    <mergeCell ref="F39:H39"/>
    <mergeCell ref="A40:C40"/>
    <mergeCell ref="F40:H40"/>
    <mergeCell ref="A26:H26"/>
    <mergeCell ref="D27:E27"/>
    <mergeCell ref="D28:E28"/>
    <mergeCell ref="D29:E29"/>
    <mergeCell ref="A30:H30"/>
    <mergeCell ref="A36:H36"/>
    <mergeCell ref="A19:B19"/>
    <mergeCell ref="E19:H19"/>
    <mergeCell ref="A20:B20"/>
    <mergeCell ref="E20:H20"/>
    <mergeCell ref="A21:B21"/>
    <mergeCell ref="E21:H21"/>
    <mergeCell ref="A22:B22"/>
    <mergeCell ref="A23:B23"/>
    <mergeCell ref="E23:H23"/>
    <mergeCell ref="A162:C162"/>
    <mergeCell ref="F162:H162"/>
    <mergeCell ref="A163:C163"/>
    <mergeCell ref="F163:H163"/>
    <mergeCell ref="E60:H60"/>
    <mergeCell ref="E61:H61"/>
    <mergeCell ref="E62:H62"/>
    <mergeCell ref="E64:H64"/>
    <mergeCell ref="E65:H65"/>
    <mergeCell ref="E66:H66"/>
    <mergeCell ref="A60:B60"/>
    <mergeCell ref="A61:B61"/>
    <mergeCell ref="A62:B62"/>
    <mergeCell ref="A63:B63"/>
    <mergeCell ref="A64:B64"/>
    <mergeCell ref="A65:B65"/>
    <mergeCell ref="C160:D160"/>
    <mergeCell ref="F160:H160"/>
    <mergeCell ref="A161:C161"/>
    <mergeCell ref="E161:F161"/>
    <mergeCell ref="G161:H161"/>
    <mergeCell ref="A155:B155"/>
    <mergeCell ref="A156:B156"/>
    <mergeCell ref="A157:B157"/>
    <mergeCell ref="A158:B158"/>
    <mergeCell ref="A159:H159"/>
    <mergeCell ref="D150:E150"/>
    <mergeCell ref="D151:E151"/>
    <mergeCell ref="D152:E152"/>
    <mergeCell ref="A153:H153"/>
    <mergeCell ref="A154:B154"/>
    <mergeCell ref="A149:H149"/>
    <mergeCell ref="A145:B145"/>
    <mergeCell ref="A146:B146"/>
    <mergeCell ref="E146:H146"/>
    <mergeCell ref="A147:B147"/>
    <mergeCell ref="E147:H147"/>
    <mergeCell ref="A148:B148"/>
    <mergeCell ref="E148:H148"/>
    <mergeCell ref="D140:H140"/>
    <mergeCell ref="A141:H141"/>
    <mergeCell ref="A142:B142"/>
    <mergeCell ref="E142:H142"/>
    <mergeCell ref="A143:B143"/>
    <mergeCell ref="E143:H143"/>
    <mergeCell ref="A144:B144"/>
    <mergeCell ref="E144:H144"/>
    <mergeCell ref="C135:H135"/>
    <mergeCell ref="C136:H136"/>
    <mergeCell ref="C137:H137"/>
    <mergeCell ref="C138:H138"/>
    <mergeCell ref="D139:H139"/>
    <mergeCell ref="D132:E132"/>
    <mergeCell ref="F132:G132"/>
    <mergeCell ref="D133:E133"/>
    <mergeCell ref="F133:G133"/>
    <mergeCell ref="C134:H134"/>
    <mergeCell ref="A128:H128"/>
    <mergeCell ref="A129:H129"/>
    <mergeCell ref="A130:B130"/>
    <mergeCell ref="E130:H130"/>
    <mergeCell ref="A131:H131"/>
    <mergeCell ref="A121:C121"/>
    <mergeCell ref="F121:H121"/>
    <mergeCell ref="A122:C122"/>
    <mergeCell ref="F122:H122"/>
    <mergeCell ref="A125:H125"/>
    <mergeCell ref="C119:D119"/>
    <mergeCell ref="F119:H119"/>
    <mergeCell ref="A120:C120"/>
    <mergeCell ref="E120:F120"/>
    <mergeCell ref="G120:H120"/>
    <mergeCell ref="A114:B114"/>
    <mergeCell ref="A115:B115"/>
    <mergeCell ref="A116:B116"/>
    <mergeCell ref="A117:B117"/>
    <mergeCell ref="A118:H118"/>
    <mergeCell ref="D109:E109"/>
    <mergeCell ref="D110:E110"/>
    <mergeCell ref="D111:E111"/>
    <mergeCell ref="A112:H112"/>
    <mergeCell ref="A113:B113"/>
    <mergeCell ref="A108:H108"/>
    <mergeCell ref="A104:B104"/>
    <mergeCell ref="A105:B105"/>
    <mergeCell ref="E105:H105"/>
    <mergeCell ref="A106:B106"/>
    <mergeCell ref="E106:H106"/>
    <mergeCell ref="A107:B107"/>
    <mergeCell ref="E107:H107"/>
    <mergeCell ref="D99:H99"/>
    <mergeCell ref="A100:H100"/>
    <mergeCell ref="A101:B101"/>
    <mergeCell ref="E101:H101"/>
    <mergeCell ref="A102:B102"/>
    <mergeCell ref="E102:H102"/>
    <mergeCell ref="A103:B103"/>
    <mergeCell ref="E103:H103"/>
    <mergeCell ref="C94:H94"/>
    <mergeCell ref="C95:H95"/>
    <mergeCell ref="C96:H96"/>
    <mergeCell ref="C97:H97"/>
    <mergeCell ref="D98:H98"/>
    <mergeCell ref="D91:E91"/>
    <mergeCell ref="F91:G91"/>
    <mergeCell ref="D92:E92"/>
    <mergeCell ref="F92:G92"/>
    <mergeCell ref="C93:H93"/>
    <mergeCell ref="A87:H87"/>
    <mergeCell ref="A88:H88"/>
    <mergeCell ref="A89:B89"/>
    <mergeCell ref="E89:H89"/>
    <mergeCell ref="A90:H90"/>
    <mergeCell ref="A80:C80"/>
    <mergeCell ref="F80:H80"/>
    <mergeCell ref="A81:C81"/>
    <mergeCell ref="F81:H81"/>
    <mergeCell ref="A84:H84"/>
    <mergeCell ref="A77:H77"/>
    <mergeCell ref="C78:D78"/>
    <mergeCell ref="F78:H78"/>
    <mergeCell ref="A79:C79"/>
    <mergeCell ref="E79:F79"/>
    <mergeCell ref="G79:H79"/>
    <mergeCell ref="A72:B72"/>
    <mergeCell ref="A73:B73"/>
    <mergeCell ref="A74:B74"/>
    <mergeCell ref="A75:B75"/>
    <mergeCell ref="A76:B76"/>
    <mergeCell ref="A67:H67"/>
    <mergeCell ref="D68:E68"/>
    <mergeCell ref="D69:E69"/>
    <mergeCell ref="D70:E70"/>
    <mergeCell ref="A71:H71"/>
    <mergeCell ref="D57:H57"/>
    <mergeCell ref="D58:H58"/>
    <mergeCell ref="A59:H59"/>
    <mergeCell ref="C52:H52"/>
    <mergeCell ref="C53:H53"/>
    <mergeCell ref="C54:H54"/>
    <mergeCell ref="C55:H55"/>
    <mergeCell ref="C56:H56"/>
    <mergeCell ref="A66:B66"/>
    <mergeCell ref="C15:H15"/>
    <mergeCell ref="A18:H18"/>
    <mergeCell ref="A2:H2"/>
    <mergeCell ref="A5:H5"/>
    <mergeCell ref="D17:H17"/>
    <mergeCell ref="D16:H16"/>
    <mergeCell ref="A6:H6"/>
    <mergeCell ref="A7:B7"/>
    <mergeCell ref="E7:H7"/>
    <mergeCell ref="A8:H8"/>
    <mergeCell ref="D9:E9"/>
    <mergeCell ref="C11:H11"/>
    <mergeCell ref="F9:G9"/>
    <mergeCell ref="D10:E10"/>
    <mergeCell ref="F10:G10"/>
    <mergeCell ref="C13:H13"/>
    <mergeCell ref="C14:H14"/>
    <mergeCell ref="C12:H12"/>
    <mergeCell ref="C37:D37"/>
    <mergeCell ref="A38:C38"/>
    <mergeCell ref="E38:F38"/>
    <mergeCell ref="G38:H38"/>
    <mergeCell ref="F37:H37"/>
    <mergeCell ref="A31:B31"/>
    <mergeCell ref="A32:B32"/>
    <mergeCell ref="A33:B33"/>
    <mergeCell ref="A34:B34"/>
    <mergeCell ref="A35:B35"/>
  </mergeCells>
  <dataValidations count="4">
    <dataValidation type="list" allowBlank="1" showInputMessage="1" showErrorMessage="1" sqref="B37 B78 B119 B160">
      <formula1>Soils2</formula1>
    </dataValidation>
    <dataValidation type="list" showInputMessage="1" showErrorMessage="1" promptTitle="Choose Area" sqref="A4 A45 A86 A127">
      <formula1>CatchNo</formula1>
    </dataValidation>
    <dataValidation type="list" allowBlank="1" showInputMessage="1" showErrorMessage="1" sqref="D38 D79 D120 D161">
      <formula1>Underdrains</formula1>
    </dataValidation>
    <dataValidation type="list" allowBlank="1" showInputMessage="1" showErrorMessage="1" sqref="G38:H38 G79:H79 G120:H120 G161:H161">
      <formula1>Reroute3</formula1>
    </dataValidation>
  </dataValidations>
  <pageMargins left="0.7" right="0.7" top="0.75" bottom="0.75" header="0.3" footer="0.3"/>
  <pageSetup orientation="portrait" r:id="rId1"/>
  <headerFooter>
    <oddHeader>&amp;C&amp;18Vegetated Swale Worksheet</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44"/>
  <sheetViews>
    <sheetView view="pageLayout" workbookViewId="0">
      <selection activeCell="G1" sqref="G1:G4"/>
    </sheetView>
  </sheetViews>
  <sheetFormatPr defaultRowHeight="15" x14ac:dyDescent="0.25"/>
  <cols>
    <col min="1" max="1" width="4" bestFit="1" customWidth="1"/>
    <col min="3" max="3" width="17.42578125" bestFit="1" customWidth="1"/>
    <col min="5" max="5" width="27.85546875" bestFit="1" customWidth="1"/>
  </cols>
  <sheetData>
    <row r="1" spans="1:7" x14ac:dyDescent="0.25">
      <c r="A1" t="s">
        <v>34</v>
      </c>
      <c r="C1" t="s">
        <v>276</v>
      </c>
      <c r="E1" t="s">
        <v>274</v>
      </c>
      <c r="G1" t="s">
        <v>13</v>
      </c>
    </row>
    <row r="2" spans="1:7" x14ac:dyDescent="0.25">
      <c r="A2" t="s">
        <v>349</v>
      </c>
      <c r="C2" t="s">
        <v>413</v>
      </c>
      <c r="E2" t="s">
        <v>416</v>
      </c>
      <c r="G2" t="s">
        <v>25</v>
      </c>
    </row>
    <row r="3" spans="1:7" x14ac:dyDescent="0.25">
      <c r="C3" t="s">
        <v>414</v>
      </c>
      <c r="E3" t="s">
        <v>378</v>
      </c>
      <c r="G3" t="s">
        <v>27</v>
      </c>
    </row>
    <row r="4" spans="1:7" x14ac:dyDescent="0.25">
      <c r="A4">
        <v>1</v>
      </c>
      <c r="C4" t="s">
        <v>268</v>
      </c>
      <c r="E4" t="s">
        <v>379</v>
      </c>
      <c r="G4" t="s">
        <v>28</v>
      </c>
    </row>
    <row r="5" spans="1:7" x14ac:dyDescent="0.25">
      <c r="A5">
        <v>2</v>
      </c>
      <c r="C5" t="s">
        <v>33</v>
      </c>
      <c r="E5" t="s">
        <v>168</v>
      </c>
    </row>
    <row r="6" spans="1:7" x14ac:dyDescent="0.25">
      <c r="A6">
        <v>3</v>
      </c>
      <c r="C6" t="s">
        <v>272</v>
      </c>
      <c r="E6" t="s">
        <v>331</v>
      </c>
    </row>
    <row r="7" spans="1:7" x14ac:dyDescent="0.25">
      <c r="A7">
        <v>4</v>
      </c>
      <c r="C7" t="s">
        <v>415</v>
      </c>
    </row>
    <row r="8" spans="1:7" x14ac:dyDescent="0.25">
      <c r="A8">
        <v>5</v>
      </c>
      <c r="C8" t="s">
        <v>74</v>
      </c>
    </row>
    <row r="9" spans="1:7" x14ac:dyDescent="0.25">
      <c r="A9">
        <v>6</v>
      </c>
      <c r="C9" t="s">
        <v>73</v>
      </c>
    </row>
    <row r="10" spans="1:7" x14ac:dyDescent="0.25">
      <c r="A10">
        <v>7</v>
      </c>
      <c r="C10" t="s">
        <v>273</v>
      </c>
    </row>
    <row r="11" spans="1:7" x14ac:dyDescent="0.25">
      <c r="A11">
        <v>8</v>
      </c>
    </row>
    <row r="12" spans="1:7" x14ac:dyDescent="0.25">
      <c r="A12">
        <v>9</v>
      </c>
      <c r="E12" t="s">
        <v>492</v>
      </c>
    </row>
    <row r="13" spans="1:7" x14ac:dyDescent="0.25">
      <c r="A13">
        <v>10</v>
      </c>
      <c r="C13" s="161" t="s">
        <v>276</v>
      </c>
      <c r="E13" s="161" t="s">
        <v>276</v>
      </c>
      <c r="F13" s="106" t="s">
        <v>13</v>
      </c>
    </row>
    <row r="14" spans="1:7" x14ac:dyDescent="0.25">
      <c r="A14">
        <v>11</v>
      </c>
      <c r="C14" s="161" t="s">
        <v>413</v>
      </c>
      <c r="E14" t="s">
        <v>33</v>
      </c>
      <c r="F14" s="106" t="s">
        <v>25</v>
      </c>
    </row>
    <row r="15" spans="1:7" x14ac:dyDescent="0.25">
      <c r="A15">
        <v>12</v>
      </c>
      <c r="C15" t="s">
        <v>416</v>
      </c>
      <c r="E15" s="161" t="s">
        <v>558</v>
      </c>
      <c r="F15" s="106" t="s">
        <v>27</v>
      </c>
    </row>
    <row r="16" spans="1:7" x14ac:dyDescent="0.25">
      <c r="A16">
        <v>13</v>
      </c>
      <c r="C16" t="s">
        <v>414</v>
      </c>
      <c r="E16" s="161" t="s">
        <v>573</v>
      </c>
      <c r="F16" s="106" t="s">
        <v>28</v>
      </c>
    </row>
    <row r="17" spans="1:6" x14ac:dyDescent="0.25">
      <c r="A17">
        <v>14</v>
      </c>
      <c r="C17" t="s">
        <v>274</v>
      </c>
    </row>
    <row r="18" spans="1:6" x14ac:dyDescent="0.25">
      <c r="A18">
        <v>15</v>
      </c>
      <c r="C18" t="s">
        <v>379</v>
      </c>
    </row>
    <row r="19" spans="1:6" x14ac:dyDescent="0.25">
      <c r="A19">
        <v>16</v>
      </c>
      <c r="C19" t="s">
        <v>482</v>
      </c>
    </row>
    <row r="20" spans="1:6" x14ac:dyDescent="0.25">
      <c r="A20">
        <v>17</v>
      </c>
      <c r="C20" t="s">
        <v>483</v>
      </c>
      <c r="F20">
        <v>1</v>
      </c>
    </row>
    <row r="21" spans="1:6" x14ac:dyDescent="0.25">
      <c r="A21">
        <v>18</v>
      </c>
      <c r="C21" t="s">
        <v>33</v>
      </c>
      <c r="F21">
        <v>0.4</v>
      </c>
    </row>
    <row r="22" spans="1:6" x14ac:dyDescent="0.25">
      <c r="A22">
        <v>19</v>
      </c>
      <c r="C22" s="161" t="s">
        <v>558</v>
      </c>
    </row>
    <row r="23" spans="1:6" x14ac:dyDescent="0.25">
      <c r="A23">
        <v>20</v>
      </c>
      <c r="C23" t="s">
        <v>273</v>
      </c>
    </row>
    <row r="24" spans="1:6" x14ac:dyDescent="0.25">
      <c r="A24">
        <v>21</v>
      </c>
      <c r="C24" t="s">
        <v>272</v>
      </c>
    </row>
    <row r="25" spans="1:6" x14ac:dyDescent="0.25">
      <c r="A25">
        <v>22</v>
      </c>
      <c r="C25" t="s">
        <v>74</v>
      </c>
      <c r="F25" s="106" t="s">
        <v>13</v>
      </c>
    </row>
    <row r="26" spans="1:6" x14ac:dyDescent="0.25">
      <c r="A26">
        <v>23</v>
      </c>
      <c r="C26" t="s">
        <v>484</v>
      </c>
      <c r="F26" s="106" t="s">
        <v>25</v>
      </c>
    </row>
    <row r="27" spans="1:6" x14ac:dyDescent="0.25">
      <c r="A27">
        <v>24</v>
      </c>
      <c r="C27" t="s">
        <v>270</v>
      </c>
      <c r="F27" s="106" t="s">
        <v>27</v>
      </c>
    </row>
    <row r="28" spans="1:6" x14ac:dyDescent="0.25">
      <c r="A28">
        <v>25</v>
      </c>
      <c r="C28" t="s">
        <v>266</v>
      </c>
      <c r="F28" s="106" t="s">
        <v>28</v>
      </c>
    </row>
    <row r="29" spans="1:6" x14ac:dyDescent="0.25">
      <c r="A29">
        <v>26</v>
      </c>
      <c r="C29" t="s">
        <v>73</v>
      </c>
      <c r="F29" s="106" t="s">
        <v>512</v>
      </c>
    </row>
    <row r="30" spans="1:6" x14ac:dyDescent="0.25">
      <c r="A30">
        <v>27</v>
      </c>
      <c r="F30" s="106" t="s">
        <v>513</v>
      </c>
    </row>
    <row r="31" spans="1:6" x14ac:dyDescent="0.25">
      <c r="A31">
        <v>28</v>
      </c>
    </row>
    <row r="32" spans="1:6" ht="15" customHeight="1" x14ac:dyDescent="0.25">
      <c r="A32">
        <v>29</v>
      </c>
      <c r="C32" t="s">
        <v>490</v>
      </c>
    </row>
    <row r="33" spans="1:6" x14ac:dyDescent="0.25">
      <c r="A33">
        <v>30</v>
      </c>
      <c r="C33" t="s">
        <v>491</v>
      </c>
      <c r="F33" s="106" t="s">
        <v>4</v>
      </c>
    </row>
    <row r="34" spans="1:6" x14ac:dyDescent="0.25">
      <c r="C34" t="s">
        <v>492</v>
      </c>
      <c r="F34" s="106" t="s">
        <v>514</v>
      </c>
    </row>
    <row r="36" spans="1:6" x14ac:dyDescent="0.25">
      <c r="E36" t="s">
        <v>276</v>
      </c>
    </row>
    <row r="37" spans="1:6" x14ac:dyDescent="0.25">
      <c r="C37" t="s">
        <v>494</v>
      </c>
      <c r="E37" t="s">
        <v>413</v>
      </c>
    </row>
    <row r="38" spans="1:6" x14ac:dyDescent="0.25">
      <c r="C38" t="s">
        <v>495</v>
      </c>
    </row>
    <row r="39" spans="1:6" x14ac:dyDescent="0.25">
      <c r="C39" t="s">
        <v>496</v>
      </c>
    </row>
    <row r="40" spans="1:6" x14ac:dyDescent="0.25">
      <c r="C40" t="s">
        <v>542</v>
      </c>
    </row>
    <row r="41" spans="1:6" x14ac:dyDescent="0.25">
      <c r="C41" t="s">
        <v>497</v>
      </c>
    </row>
    <row r="43" spans="1:6" x14ac:dyDescent="0.25">
      <c r="C43" t="s">
        <v>34</v>
      </c>
    </row>
    <row r="44" spans="1:6" x14ac:dyDescent="0.25">
      <c r="C44" t="s">
        <v>349</v>
      </c>
    </row>
  </sheetData>
  <sortState ref="C13:C29">
    <sortCondition ref="C13"/>
  </sortState>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
  <sheetViews>
    <sheetView workbookViewId="0"/>
  </sheetViews>
  <sheetFormatPr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6"/>
  <sheetViews>
    <sheetView workbookViewId="0">
      <selection activeCell="A7" sqref="A7"/>
    </sheetView>
  </sheetViews>
  <sheetFormatPr defaultRowHeight="15" x14ac:dyDescent="0.25"/>
  <cols>
    <col min="1" max="1" width="9.7109375" bestFit="1" customWidth="1"/>
    <col min="2" max="2" width="45.7109375" customWidth="1"/>
    <col min="3" max="3" width="137.140625" customWidth="1"/>
  </cols>
  <sheetData>
    <row r="1" spans="1:3" x14ac:dyDescent="0.25">
      <c r="A1" t="s">
        <v>604</v>
      </c>
    </row>
    <row r="3" spans="1:3" x14ac:dyDescent="0.25">
      <c r="A3" t="s">
        <v>605</v>
      </c>
      <c r="B3" t="s">
        <v>606</v>
      </c>
      <c r="C3" t="s">
        <v>29</v>
      </c>
    </row>
    <row r="4" spans="1:3" ht="30" x14ac:dyDescent="0.25">
      <c r="A4" s="641">
        <v>41478</v>
      </c>
      <c r="B4" s="641" t="s">
        <v>619</v>
      </c>
      <c r="C4" s="248" t="s">
        <v>620</v>
      </c>
    </row>
    <row r="5" spans="1:3" x14ac:dyDescent="0.25">
      <c r="A5" s="454">
        <v>41585</v>
      </c>
      <c r="B5" t="s">
        <v>621</v>
      </c>
      <c r="C5" t="s">
        <v>622</v>
      </c>
    </row>
    <row r="6" spans="1:3" x14ac:dyDescent="0.25">
      <c r="A6" s="454">
        <v>41662</v>
      </c>
      <c r="B6" t="s">
        <v>621</v>
      </c>
      <c r="C6" t="s">
        <v>623</v>
      </c>
    </row>
  </sheetData>
  <sheetProtection password="C7D7" sheet="1" objects="1" scenarios="1"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J33"/>
  <sheetViews>
    <sheetView view="pageLayout" zoomScale="150" zoomScaleNormal="100" zoomScalePageLayoutView="150" workbookViewId="0">
      <selection activeCell="D17" sqref="D17"/>
    </sheetView>
  </sheetViews>
  <sheetFormatPr defaultRowHeight="15" x14ac:dyDescent="0.25"/>
  <cols>
    <col min="1" max="1" width="13.42578125" style="433" customWidth="1"/>
    <col min="2" max="2" width="12.28515625" style="433" customWidth="1"/>
    <col min="3" max="3" width="14.7109375" style="433" customWidth="1"/>
    <col min="4" max="4" width="14.5703125" style="433" customWidth="1"/>
    <col min="5" max="5" width="11.140625" style="433" customWidth="1"/>
    <col min="6" max="6" width="10.5703125" style="433" customWidth="1"/>
    <col min="7" max="7" width="13.140625" style="433" customWidth="1"/>
    <col min="8" max="8" width="10.140625" style="433" bestFit="1" customWidth="1"/>
    <col min="9" max="16384" width="9.140625" style="433"/>
  </cols>
  <sheetData>
    <row r="1" spans="1:10" x14ac:dyDescent="0.25">
      <c r="A1" s="681" t="s">
        <v>603</v>
      </c>
      <c r="B1" s="682"/>
      <c r="C1" s="682"/>
      <c r="D1" s="682"/>
      <c r="E1" s="682"/>
      <c r="F1" s="682"/>
      <c r="G1" s="683"/>
    </row>
    <row r="2" spans="1:10" ht="30.2" customHeight="1" x14ac:dyDescent="0.25">
      <c r="A2" s="435" t="s">
        <v>139</v>
      </c>
      <c r="B2" s="444" t="s">
        <v>5</v>
      </c>
      <c r="C2" s="444" t="s">
        <v>140</v>
      </c>
      <c r="D2" s="444" t="s">
        <v>70</v>
      </c>
      <c r="E2" s="444" t="s">
        <v>211</v>
      </c>
      <c r="F2" s="444" t="s">
        <v>1</v>
      </c>
      <c r="G2" s="436" t="s">
        <v>29</v>
      </c>
      <c r="J2" s="399"/>
    </row>
    <row r="3" spans="1:10" ht="15" customHeight="1" x14ac:dyDescent="0.25">
      <c r="A3" s="437"/>
      <c r="B3" s="212" t="s">
        <v>76</v>
      </c>
      <c r="C3" s="212" t="s">
        <v>76</v>
      </c>
      <c r="D3" s="20" t="s">
        <v>11</v>
      </c>
      <c r="E3" s="20" t="s">
        <v>7</v>
      </c>
      <c r="F3" s="328" t="s">
        <v>205</v>
      </c>
      <c r="G3" s="438"/>
      <c r="J3" s="399"/>
    </row>
    <row r="4" spans="1:10" x14ac:dyDescent="0.25">
      <c r="A4" s="439">
        <v>1</v>
      </c>
      <c r="B4" s="148" t="str">
        <f>IF('Total WQv Calculation'!B7="","",'Total WQv Calculation'!B7)</f>
        <v/>
      </c>
      <c r="C4" s="148" t="str">
        <f>IF('Total WQv Calculation'!C7="","",'Total WQv Calculation'!C7)</f>
        <v/>
      </c>
      <c r="D4" s="148" t="str">
        <f>IF('Total WQv Calculation'!D7="","",'Total WQv Calculation'!D7)</f>
        <v/>
      </c>
      <c r="E4" s="148" t="str">
        <f>IF('Total WQv Calculation'!E7="","",'Total WQv Calculation'!E7)</f>
        <v/>
      </c>
      <c r="F4" s="148" t="str">
        <f>IF('Total WQv Calculation'!F7="","",'Total WQv Calculation'!F7)</f>
        <v/>
      </c>
      <c r="G4" s="441" t="str">
        <f>IF('Total WQv Calculation'!G7="","",'Total WQv Calculation'!G7)</f>
        <v/>
      </c>
      <c r="J4" s="399"/>
    </row>
    <row r="5" spans="1:10" x14ac:dyDescent="0.25">
      <c r="A5" s="439">
        <v>2</v>
      </c>
      <c r="B5" s="148" t="str">
        <f>IF('Total WQv Calculation'!B8="","",'Total WQv Calculation'!B8)</f>
        <v/>
      </c>
      <c r="C5" s="148" t="str">
        <f>IF('Total WQv Calculation'!C8="","",'Total WQv Calculation'!C8)</f>
        <v/>
      </c>
      <c r="D5" s="148" t="str">
        <f>IF('Total WQv Calculation'!D8="","",'Total WQv Calculation'!D8)</f>
        <v/>
      </c>
      <c r="E5" s="148" t="str">
        <f>IF('Total WQv Calculation'!E8="","",'Total WQv Calculation'!E8)</f>
        <v/>
      </c>
      <c r="F5" s="446" t="str">
        <f>IF('Total WQv Calculation'!F8="","",'Total WQv Calculation'!F8)</f>
        <v/>
      </c>
      <c r="G5" s="441" t="str">
        <f>IF('Total WQv Calculation'!G8="","",'Total WQv Calculation'!G8)</f>
        <v/>
      </c>
    </row>
    <row r="6" spans="1:10" x14ac:dyDescent="0.25">
      <c r="A6" s="439">
        <v>3</v>
      </c>
      <c r="B6" s="148" t="str">
        <f>IF('Total WQv Calculation'!B9="","",'Total WQv Calculation'!B9)</f>
        <v/>
      </c>
      <c r="C6" s="148" t="str">
        <f>IF('Total WQv Calculation'!C9="","",'Total WQv Calculation'!C9)</f>
        <v/>
      </c>
      <c r="D6" s="148" t="str">
        <f>IF('Total WQv Calculation'!D9="","",'Total WQv Calculation'!D9)</f>
        <v/>
      </c>
      <c r="E6" s="148" t="str">
        <f>IF('Total WQv Calculation'!E9="","",'Total WQv Calculation'!E9)</f>
        <v/>
      </c>
      <c r="F6" s="148" t="str">
        <f>IF('Total WQv Calculation'!F9="","",'Total WQv Calculation'!F9)</f>
        <v/>
      </c>
      <c r="G6" s="441" t="str">
        <f>IF('Total WQv Calculation'!G9="","",'Total WQv Calculation'!G9)</f>
        <v/>
      </c>
    </row>
    <row r="7" spans="1:10" x14ac:dyDescent="0.25">
      <c r="A7" s="439">
        <v>4</v>
      </c>
      <c r="B7" s="148" t="str">
        <f>IF('Total WQv Calculation'!B10="","",'Total WQv Calculation'!B10)</f>
        <v/>
      </c>
      <c r="C7" s="148" t="str">
        <f>IF('Total WQv Calculation'!C10="","",'Total WQv Calculation'!C10)</f>
        <v/>
      </c>
      <c r="D7" s="148" t="str">
        <f>IF('Total WQv Calculation'!D10="","",'Total WQv Calculation'!D10)</f>
        <v/>
      </c>
      <c r="E7" s="148" t="str">
        <f>IF('Total WQv Calculation'!E10="","",'Total WQv Calculation'!E10)</f>
        <v/>
      </c>
      <c r="F7" s="148" t="str">
        <f>IF('Total WQv Calculation'!F10="","",'Total WQv Calculation'!F10)</f>
        <v/>
      </c>
      <c r="G7" s="441" t="str">
        <f>IF('Total WQv Calculation'!G10="","",'Total WQv Calculation'!G10)</f>
        <v/>
      </c>
    </row>
    <row r="8" spans="1:10" x14ac:dyDescent="0.25">
      <c r="A8" s="439">
        <v>5</v>
      </c>
      <c r="B8" s="148" t="str">
        <f>IF('Total WQv Calculation'!B11="","",'Total WQv Calculation'!B11)</f>
        <v/>
      </c>
      <c r="C8" s="148" t="str">
        <f>IF('Total WQv Calculation'!C11="","",'Total WQv Calculation'!C11)</f>
        <v/>
      </c>
      <c r="D8" s="148" t="str">
        <f>IF('Total WQv Calculation'!D11="","",'Total WQv Calculation'!D11)</f>
        <v/>
      </c>
      <c r="E8" s="148" t="str">
        <f>IF('Total WQv Calculation'!E11="","",'Total WQv Calculation'!E11)</f>
        <v/>
      </c>
      <c r="F8" s="148" t="str">
        <f>IF('Total WQv Calculation'!F11="","",'Total WQv Calculation'!F11)</f>
        <v/>
      </c>
      <c r="G8" s="441" t="str">
        <f>IF('Total WQv Calculation'!G11="","",'Total WQv Calculation'!G11)</f>
        <v/>
      </c>
    </row>
    <row r="9" spans="1:10" x14ac:dyDescent="0.25">
      <c r="A9" s="439">
        <v>6</v>
      </c>
      <c r="B9" s="148" t="str">
        <f>IF('Total WQv Calculation'!B12="","",'Total WQv Calculation'!B12)</f>
        <v/>
      </c>
      <c r="C9" s="148" t="str">
        <f>IF('Total WQv Calculation'!C12="","",'Total WQv Calculation'!C12)</f>
        <v/>
      </c>
      <c r="D9" s="148" t="str">
        <f>IF('Total WQv Calculation'!D12="","",'Total WQv Calculation'!D12)</f>
        <v/>
      </c>
      <c r="E9" s="148" t="str">
        <f>IF('Total WQv Calculation'!E12="","",'Total WQv Calculation'!E12)</f>
        <v/>
      </c>
      <c r="F9" s="148" t="str">
        <f>IF('Total WQv Calculation'!F12="","",'Total WQv Calculation'!F12)</f>
        <v/>
      </c>
      <c r="G9" s="441" t="str">
        <f>IF('Total WQv Calculation'!G12="","",'Total WQv Calculation'!G12)</f>
        <v/>
      </c>
    </row>
    <row r="10" spans="1:10" x14ac:dyDescent="0.25">
      <c r="A10" s="439">
        <v>7</v>
      </c>
      <c r="B10" s="148" t="str">
        <f>IF('Total WQv Calculation'!B13="","",'Total WQv Calculation'!B13)</f>
        <v/>
      </c>
      <c r="C10" s="148" t="str">
        <f>IF('Total WQv Calculation'!C13="","",'Total WQv Calculation'!C13)</f>
        <v/>
      </c>
      <c r="D10" s="148" t="str">
        <f>IF('Total WQv Calculation'!D13="","",'Total WQv Calculation'!D13)</f>
        <v/>
      </c>
      <c r="E10" s="148" t="str">
        <f>IF('Total WQv Calculation'!E13="","",'Total WQv Calculation'!E13)</f>
        <v/>
      </c>
      <c r="F10" s="148" t="str">
        <f>IF('Total WQv Calculation'!F13="","",'Total WQv Calculation'!F13)</f>
        <v/>
      </c>
      <c r="G10" s="441" t="str">
        <f>IF('Total WQv Calculation'!G13="","",'Total WQv Calculation'!G13)</f>
        <v/>
      </c>
    </row>
    <row r="11" spans="1:10" x14ac:dyDescent="0.25">
      <c r="A11" s="439">
        <v>8</v>
      </c>
      <c r="B11" s="148" t="str">
        <f>IF('Total WQv Calculation'!B14="","",'Total WQv Calculation'!B14)</f>
        <v/>
      </c>
      <c r="C11" s="148" t="str">
        <f>IF('Total WQv Calculation'!C14="","",'Total WQv Calculation'!C14)</f>
        <v/>
      </c>
      <c r="D11" s="148" t="str">
        <f>IF('Total WQv Calculation'!D14="","",'Total WQv Calculation'!D14)</f>
        <v/>
      </c>
      <c r="E11" s="148" t="str">
        <f>IF('Total WQv Calculation'!E14="","",'Total WQv Calculation'!E14)</f>
        <v/>
      </c>
      <c r="F11" s="148" t="str">
        <f>IF('Total WQv Calculation'!F14="","",'Total WQv Calculation'!F14)</f>
        <v/>
      </c>
      <c r="G11" s="441" t="str">
        <f>IF('Total WQv Calculation'!G14="","",'Total WQv Calculation'!G14)</f>
        <v/>
      </c>
    </row>
    <row r="12" spans="1:10" x14ac:dyDescent="0.25">
      <c r="A12" s="439">
        <v>9</v>
      </c>
      <c r="B12" s="148" t="str">
        <f>IF('Total WQv Calculation'!B15="","",'Total WQv Calculation'!B15)</f>
        <v/>
      </c>
      <c r="C12" s="148" t="str">
        <f>IF('Total WQv Calculation'!C15="","",'Total WQv Calculation'!C15)</f>
        <v/>
      </c>
      <c r="D12" s="148" t="str">
        <f>IF('Total WQv Calculation'!D15="","",'Total WQv Calculation'!D15)</f>
        <v/>
      </c>
      <c r="E12" s="148" t="str">
        <f>IF('Total WQv Calculation'!E15="","",'Total WQv Calculation'!E15)</f>
        <v/>
      </c>
      <c r="F12" s="148" t="str">
        <f>IF('Total WQv Calculation'!F15="","",'Total WQv Calculation'!F15)</f>
        <v/>
      </c>
      <c r="G12" s="441" t="str">
        <f>IF('Total WQv Calculation'!G15="","",'Total WQv Calculation'!G15)</f>
        <v/>
      </c>
    </row>
    <row r="13" spans="1:10" x14ac:dyDescent="0.25">
      <c r="A13" s="439">
        <v>10</v>
      </c>
      <c r="B13" s="148" t="str">
        <f>IF('Total WQv Calculation'!B16="","",'Total WQv Calculation'!B16)</f>
        <v/>
      </c>
      <c r="C13" s="148" t="str">
        <f>IF('Total WQv Calculation'!C16="","",'Total WQv Calculation'!C16)</f>
        <v/>
      </c>
      <c r="D13" s="148" t="str">
        <f>IF('Total WQv Calculation'!D16="","",'Total WQv Calculation'!D16)</f>
        <v/>
      </c>
      <c r="E13" s="148" t="str">
        <f>IF('Total WQv Calculation'!E16="","",'Total WQv Calculation'!E16)</f>
        <v/>
      </c>
      <c r="F13" s="148" t="str">
        <f>IF('Total WQv Calculation'!F16="","",'Total WQv Calculation'!F16)</f>
        <v/>
      </c>
      <c r="G13" s="441" t="str">
        <f>IF('Total WQv Calculation'!G16="","",'Total WQv Calculation'!G16)</f>
        <v/>
      </c>
    </row>
    <row r="14" spans="1:10" x14ac:dyDescent="0.25">
      <c r="A14" s="439">
        <v>11</v>
      </c>
      <c r="B14" s="148" t="str">
        <f>IF('WQv Calculation - Subtotal'!B3="","",'WQv Calculation - Subtotal'!B3)</f>
        <v/>
      </c>
      <c r="C14" s="148" t="str">
        <f>IF('WQv Calculation - Subtotal'!C3="","",'WQv Calculation - Subtotal'!C3)</f>
        <v/>
      </c>
      <c r="D14" s="148" t="str">
        <f>IF('WQv Calculation - Subtotal'!D3="","",'WQv Calculation - Subtotal'!D3)</f>
        <v/>
      </c>
      <c r="E14" s="148" t="str">
        <f>IF('WQv Calculation - Subtotal'!E3="","",'WQv Calculation - Subtotal'!E3)</f>
        <v/>
      </c>
      <c r="F14" s="148" t="str">
        <f>IF('WQv Calculation - Subtotal'!F3="","",'WQv Calculation - Subtotal'!F3)</f>
        <v/>
      </c>
      <c r="G14" s="441" t="str">
        <f>IF('WQv Calculation - Subtotal'!G3="","",'WQv Calculation - Subtotal'!G3)</f>
        <v/>
      </c>
    </row>
    <row r="15" spans="1:10" x14ac:dyDescent="0.25">
      <c r="A15" s="439">
        <v>12</v>
      </c>
      <c r="B15" s="148" t="str">
        <f>IF('WQv Calculation - Subtotal'!B4="","",'WQv Calculation - Subtotal'!B4)</f>
        <v/>
      </c>
      <c r="C15" s="148" t="str">
        <f>IF('WQv Calculation - Subtotal'!C4="","",'WQv Calculation - Subtotal'!C4)</f>
        <v/>
      </c>
      <c r="D15" s="148" t="str">
        <f>IF('WQv Calculation - Subtotal'!D4="","",'WQv Calculation - Subtotal'!D4)</f>
        <v/>
      </c>
      <c r="E15" s="148" t="str">
        <f>IF('WQv Calculation - Subtotal'!E4="","",'WQv Calculation - Subtotal'!E4)</f>
        <v/>
      </c>
      <c r="F15" s="148" t="str">
        <f>IF('WQv Calculation - Subtotal'!F4="","",'WQv Calculation - Subtotal'!F4)</f>
        <v/>
      </c>
      <c r="G15" s="441" t="str">
        <f>IF('WQv Calculation - Subtotal'!G4="","",'WQv Calculation - Subtotal'!G4)</f>
        <v/>
      </c>
    </row>
    <row r="16" spans="1:10" x14ac:dyDescent="0.25">
      <c r="A16" s="439">
        <v>13</v>
      </c>
      <c r="B16" s="148" t="str">
        <f>IF('WQv Calculation - Subtotal'!B5="","",'WQv Calculation - Subtotal'!B5)</f>
        <v/>
      </c>
      <c r="C16" s="148" t="str">
        <f>IF('WQv Calculation - Subtotal'!C5="","",'WQv Calculation - Subtotal'!C5)</f>
        <v/>
      </c>
      <c r="D16" s="148" t="str">
        <f>IF('WQv Calculation - Subtotal'!D5="","",'WQv Calculation - Subtotal'!D5)</f>
        <v/>
      </c>
      <c r="E16" s="148" t="str">
        <f>IF('WQv Calculation - Subtotal'!E5="","",'WQv Calculation - Subtotal'!E5)</f>
        <v/>
      </c>
      <c r="F16" s="148" t="str">
        <f>IF('WQv Calculation - Subtotal'!F5="","",'WQv Calculation - Subtotal'!F5)</f>
        <v/>
      </c>
      <c r="G16" s="441" t="str">
        <f>IF('WQv Calculation - Subtotal'!G5="","",'WQv Calculation - Subtotal'!G5)</f>
        <v/>
      </c>
    </row>
    <row r="17" spans="1:7" x14ac:dyDescent="0.25">
      <c r="A17" s="439">
        <v>14</v>
      </c>
      <c r="B17" s="148" t="str">
        <f>IF('WQv Calculation - Subtotal'!B6="","",'WQv Calculation - Subtotal'!B6)</f>
        <v/>
      </c>
      <c r="C17" s="148" t="str">
        <f>IF('WQv Calculation - Subtotal'!C6="","",'WQv Calculation - Subtotal'!C6)</f>
        <v/>
      </c>
      <c r="D17" s="148" t="str">
        <f>IF('WQv Calculation - Subtotal'!D6="","",'WQv Calculation - Subtotal'!D6)</f>
        <v/>
      </c>
      <c r="E17" s="148" t="str">
        <f>IF('WQv Calculation - Subtotal'!E6="","",'WQv Calculation - Subtotal'!E6)</f>
        <v/>
      </c>
      <c r="F17" s="148" t="str">
        <f>IF('WQv Calculation - Subtotal'!F6="","",'WQv Calculation - Subtotal'!F6)</f>
        <v/>
      </c>
      <c r="G17" s="441" t="str">
        <f>IF('WQv Calculation - Subtotal'!G6="","",'WQv Calculation - Subtotal'!G6)</f>
        <v/>
      </c>
    </row>
    <row r="18" spans="1:7" x14ac:dyDescent="0.25">
      <c r="A18" s="439">
        <v>15</v>
      </c>
      <c r="B18" s="148" t="str">
        <f>IF('WQv Calculation - Subtotal'!B7="","",'WQv Calculation - Subtotal'!B7)</f>
        <v/>
      </c>
      <c r="C18" s="148" t="str">
        <f>IF('WQv Calculation - Subtotal'!C7="","",'WQv Calculation - Subtotal'!C7)</f>
        <v/>
      </c>
      <c r="D18" s="148" t="str">
        <f>IF('WQv Calculation - Subtotal'!D7="","",'WQv Calculation - Subtotal'!D7)</f>
        <v/>
      </c>
      <c r="E18" s="148" t="str">
        <f>IF('WQv Calculation - Subtotal'!E7="","",'WQv Calculation - Subtotal'!E7)</f>
        <v/>
      </c>
      <c r="F18" s="148" t="str">
        <f>IF('WQv Calculation - Subtotal'!F7="","",'WQv Calculation - Subtotal'!F7)</f>
        <v/>
      </c>
      <c r="G18" s="441" t="str">
        <f>IF('WQv Calculation - Subtotal'!G7="","",'WQv Calculation - Subtotal'!G7)</f>
        <v/>
      </c>
    </row>
    <row r="19" spans="1:7" x14ac:dyDescent="0.25">
      <c r="A19" s="439">
        <v>16</v>
      </c>
      <c r="B19" s="148" t="str">
        <f>IF('WQv Calculation - Subtotal'!B8="","",'WQv Calculation - Subtotal'!B8)</f>
        <v/>
      </c>
      <c r="C19" s="148" t="str">
        <f>IF('WQv Calculation - Subtotal'!C8="","",'WQv Calculation - Subtotal'!C8)</f>
        <v/>
      </c>
      <c r="D19" s="148" t="str">
        <f>IF('WQv Calculation - Subtotal'!D8="","",'WQv Calculation - Subtotal'!D8)</f>
        <v/>
      </c>
      <c r="E19" s="148" t="str">
        <f>IF('WQv Calculation - Subtotal'!E8="","",'WQv Calculation - Subtotal'!E8)</f>
        <v/>
      </c>
      <c r="F19" s="148" t="str">
        <f>IF('WQv Calculation - Subtotal'!F8="","",'WQv Calculation - Subtotal'!F8)</f>
        <v/>
      </c>
      <c r="G19" s="441" t="str">
        <f>IF('WQv Calculation - Subtotal'!G8="","",'WQv Calculation - Subtotal'!G8)</f>
        <v/>
      </c>
    </row>
    <row r="20" spans="1:7" x14ac:dyDescent="0.25">
      <c r="A20" s="439">
        <v>17</v>
      </c>
      <c r="B20" s="148" t="str">
        <f>IF('WQv Calculation - Subtotal'!B9="","",'WQv Calculation - Subtotal'!B9)</f>
        <v/>
      </c>
      <c r="C20" s="148" t="str">
        <f>IF('WQv Calculation - Subtotal'!C9="","",'WQv Calculation - Subtotal'!C9)</f>
        <v/>
      </c>
      <c r="D20" s="148" t="str">
        <f>IF('WQv Calculation - Subtotal'!D9="","",'WQv Calculation - Subtotal'!D9)</f>
        <v/>
      </c>
      <c r="E20" s="148" t="str">
        <f>IF('WQv Calculation - Subtotal'!E9="","",'WQv Calculation - Subtotal'!E9)</f>
        <v/>
      </c>
      <c r="F20" s="148" t="str">
        <f>IF('WQv Calculation - Subtotal'!F9="","",'WQv Calculation - Subtotal'!F9)</f>
        <v/>
      </c>
      <c r="G20" s="441" t="str">
        <f>IF('WQv Calculation - Subtotal'!G9="","",'WQv Calculation - Subtotal'!G9)</f>
        <v/>
      </c>
    </row>
    <row r="21" spans="1:7" x14ac:dyDescent="0.25">
      <c r="A21" s="439">
        <v>18</v>
      </c>
      <c r="B21" s="148" t="str">
        <f>IF('WQv Calculation - Subtotal'!B10="","",'WQv Calculation - Subtotal'!B10)</f>
        <v/>
      </c>
      <c r="C21" s="148" t="str">
        <f>IF('WQv Calculation - Subtotal'!C10="","",'WQv Calculation - Subtotal'!C10)</f>
        <v/>
      </c>
      <c r="D21" s="148" t="str">
        <f>IF('WQv Calculation - Subtotal'!D10="","",'WQv Calculation - Subtotal'!D10)</f>
        <v/>
      </c>
      <c r="E21" s="148" t="str">
        <f>IF('WQv Calculation - Subtotal'!E10="","",'WQv Calculation - Subtotal'!E10)</f>
        <v/>
      </c>
      <c r="F21" s="148" t="str">
        <f>IF('WQv Calculation - Subtotal'!F10="","",'WQv Calculation - Subtotal'!F10)</f>
        <v/>
      </c>
      <c r="G21" s="441" t="str">
        <f>IF('WQv Calculation - Subtotal'!G10="","",'WQv Calculation - Subtotal'!G10)</f>
        <v/>
      </c>
    </row>
    <row r="22" spans="1:7" x14ac:dyDescent="0.25">
      <c r="A22" s="439">
        <v>19</v>
      </c>
      <c r="B22" s="148" t="str">
        <f>IF('WQv Calculation - Subtotal'!B11="","",'WQv Calculation - Subtotal'!B11)</f>
        <v/>
      </c>
      <c r="C22" s="148" t="str">
        <f>IF('WQv Calculation - Subtotal'!C11="","",'WQv Calculation - Subtotal'!C11)</f>
        <v/>
      </c>
      <c r="D22" s="148" t="str">
        <f>IF('WQv Calculation - Subtotal'!D11="","",'WQv Calculation - Subtotal'!D11)</f>
        <v/>
      </c>
      <c r="E22" s="148" t="str">
        <f>IF('WQv Calculation - Subtotal'!E11="","",'WQv Calculation - Subtotal'!E11)</f>
        <v/>
      </c>
      <c r="F22" s="148" t="str">
        <f>IF('WQv Calculation - Subtotal'!F11="","",'WQv Calculation - Subtotal'!F11)</f>
        <v/>
      </c>
      <c r="G22" s="441" t="str">
        <f>IF('WQv Calculation - Subtotal'!G11="","",'WQv Calculation - Subtotal'!G11)</f>
        <v/>
      </c>
    </row>
    <row r="23" spans="1:7" x14ac:dyDescent="0.25">
      <c r="A23" s="439">
        <v>20</v>
      </c>
      <c r="B23" s="148" t="str">
        <f>IF('WQv Calculation - Subtotal'!B12="","",'WQv Calculation - Subtotal'!B12)</f>
        <v/>
      </c>
      <c r="C23" s="148" t="str">
        <f>IF('WQv Calculation - Subtotal'!C12="","",'WQv Calculation - Subtotal'!C12)</f>
        <v/>
      </c>
      <c r="D23" s="148" t="str">
        <f>IF('WQv Calculation - Subtotal'!D12="","",'WQv Calculation - Subtotal'!D12)</f>
        <v/>
      </c>
      <c r="E23" s="148" t="str">
        <f>IF('WQv Calculation - Subtotal'!E12="","",'WQv Calculation - Subtotal'!E12)</f>
        <v/>
      </c>
      <c r="F23" s="148" t="str">
        <f>IF('WQv Calculation - Subtotal'!F12="","",'WQv Calculation - Subtotal'!F12)</f>
        <v/>
      </c>
      <c r="G23" s="441" t="str">
        <f>IF('WQv Calculation - Subtotal'!G12="","",'WQv Calculation - Subtotal'!G12)</f>
        <v/>
      </c>
    </row>
    <row r="24" spans="1:7" x14ac:dyDescent="0.25">
      <c r="A24" s="439">
        <v>21</v>
      </c>
      <c r="B24" s="148" t="str">
        <f>IF('WQv Calculation - Subtotal'!B13="","",'WQv Calculation - Subtotal'!B13)</f>
        <v/>
      </c>
      <c r="C24" s="148" t="str">
        <f>IF('WQv Calculation - Subtotal'!C13="","",'WQv Calculation - Subtotal'!C13)</f>
        <v/>
      </c>
      <c r="D24" s="148" t="str">
        <f>IF('WQv Calculation - Subtotal'!D13="","",'WQv Calculation - Subtotal'!D13)</f>
        <v/>
      </c>
      <c r="E24" s="148" t="str">
        <f>IF('WQv Calculation - Subtotal'!E13="","",'WQv Calculation - Subtotal'!E13)</f>
        <v/>
      </c>
      <c r="F24" s="148" t="str">
        <f>IF('WQv Calculation - Subtotal'!F13="","",'WQv Calculation - Subtotal'!F13)</f>
        <v/>
      </c>
      <c r="G24" s="441" t="str">
        <f>IF('WQv Calculation - Subtotal'!G13="","",'WQv Calculation - Subtotal'!G13)</f>
        <v/>
      </c>
    </row>
    <row r="25" spans="1:7" x14ac:dyDescent="0.25">
      <c r="A25" s="439">
        <v>22</v>
      </c>
      <c r="B25" s="148" t="str">
        <f>IF('WQv Calculation - Subtotal'!B14="","",'WQv Calculation - Subtotal'!B14)</f>
        <v/>
      </c>
      <c r="C25" s="148" t="str">
        <f>IF('WQv Calculation - Subtotal'!C14="","",'WQv Calculation - Subtotal'!C14)</f>
        <v/>
      </c>
      <c r="D25" s="148" t="str">
        <f>IF('WQv Calculation - Subtotal'!D14="","",'WQv Calculation - Subtotal'!D14)</f>
        <v/>
      </c>
      <c r="E25" s="148" t="str">
        <f>IF('WQv Calculation - Subtotal'!E14="","",'WQv Calculation - Subtotal'!E14)</f>
        <v/>
      </c>
      <c r="F25" s="148" t="str">
        <f>IF('WQv Calculation - Subtotal'!F14="","",'WQv Calculation - Subtotal'!F14)</f>
        <v/>
      </c>
      <c r="G25" s="441" t="str">
        <f>IF('WQv Calculation - Subtotal'!G14="","",'WQv Calculation - Subtotal'!G14)</f>
        <v/>
      </c>
    </row>
    <row r="26" spans="1:7" x14ac:dyDescent="0.25">
      <c r="A26" s="439">
        <v>23</v>
      </c>
      <c r="B26" s="148" t="str">
        <f>IF('WQv Calculation - Subtotal'!B15="","",'WQv Calculation - Subtotal'!B15)</f>
        <v/>
      </c>
      <c r="C26" s="148" t="str">
        <f>IF('WQv Calculation - Subtotal'!C15="","",'WQv Calculation - Subtotal'!C15)</f>
        <v/>
      </c>
      <c r="D26" s="148" t="str">
        <f>IF('WQv Calculation - Subtotal'!D15="","",'WQv Calculation - Subtotal'!D15)</f>
        <v/>
      </c>
      <c r="E26" s="148" t="str">
        <f>IF('WQv Calculation - Subtotal'!E15="","",'WQv Calculation - Subtotal'!E15)</f>
        <v/>
      </c>
      <c r="F26" s="148" t="str">
        <f>IF('WQv Calculation - Subtotal'!F15="","",'WQv Calculation - Subtotal'!F15)</f>
        <v/>
      </c>
      <c r="G26" s="441" t="str">
        <f>IF('WQv Calculation - Subtotal'!G15="","",'WQv Calculation - Subtotal'!G15)</f>
        <v/>
      </c>
    </row>
    <row r="27" spans="1:7" x14ac:dyDescent="0.25">
      <c r="A27" s="439">
        <v>24</v>
      </c>
      <c r="B27" s="148" t="str">
        <f>IF('WQv Calculation - Subtotal'!B16="","",'WQv Calculation - Subtotal'!B16)</f>
        <v/>
      </c>
      <c r="C27" s="148" t="str">
        <f>IF('WQv Calculation - Subtotal'!C16="","",'WQv Calculation - Subtotal'!C16)</f>
        <v/>
      </c>
      <c r="D27" s="148" t="str">
        <f>IF('WQv Calculation - Subtotal'!D16="","",'WQv Calculation - Subtotal'!D16)</f>
        <v/>
      </c>
      <c r="E27" s="148" t="str">
        <f>IF('WQv Calculation - Subtotal'!E16="","",'WQv Calculation - Subtotal'!E16)</f>
        <v/>
      </c>
      <c r="F27" s="148" t="str">
        <f>IF('WQv Calculation - Subtotal'!F16="","",'WQv Calculation - Subtotal'!F16)</f>
        <v/>
      </c>
      <c r="G27" s="441" t="str">
        <f>IF('WQv Calculation - Subtotal'!G16="","",'WQv Calculation - Subtotal'!G16)</f>
        <v/>
      </c>
    </row>
    <row r="28" spans="1:7" x14ac:dyDescent="0.25">
      <c r="A28" s="439">
        <v>25</v>
      </c>
      <c r="B28" s="148" t="str">
        <f>IF('WQv Calculation - Subtotal'!B17="","",'WQv Calculation - Subtotal'!B17)</f>
        <v/>
      </c>
      <c r="C28" s="148" t="str">
        <f>IF('WQv Calculation - Subtotal'!C17="","",'WQv Calculation - Subtotal'!C17)</f>
        <v/>
      </c>
      <c r="D28" s="148" t="str">
        <f>IF('WQv Calculation - Subtotal'!D17="","",'WQv Calculation - Subtotal'!D17)</f>
        <v/>
      </c>
      <c r="E28" s="148" t="str">
        <f>IF('WQv Calculation - Subtotal'!E17="","",'WQv Calculation - Subtotal'!E17)</f>
        <v/>
      </c>
      <c r="F28" s="148" t="str">
        <f>IF('WQv Calculation - Subtotal'!F17="","",'WQv Calculation - Subtotal'!F17)</f>
        <v/>
      </c>
      <c r="G28" s="441" t="str">
        <f>IF('WQv Calculation - Subtotal'!G17="","",'WQv Calculation - Subtotal'!G17)</f>
        <v/>
      </c>
    </row>
    <row r="29" spans="1:7" x14ac:dyDescent="0.25">
      <c r="A29" s="439">
        <v>26</v>
      </c>
      <c r="B29" s="148" t="str">
        <f>IF('WQv Calculation - Subtotal'!B18="","",'WQv Calculation - Subtotal'!B18)</f>
        <v/>
      </c>
      <c r="C29" s="148" t="str">
        <f>IF('WQv Calculation - Subtotal'!C18="","",'WQv Calculation - Subtotal'!C18)</f>
        <v/>
      </c>
      <c r="D29" s="148" t="str">
        <f>IF('WQv Calculation - Subtotal'!D18="","",'WQv Calculation - Subtotal'!D18)</f>
        <v/>
      </c>
      <c r="E29" s="148" t="str">
        <f>IF('WQv Calculation - Subtotal'!E18="","",'WQv Calculation - Subtotal'!E18)</f>
        <v/>
      </c>
      <c r="F29" s="148" t="str">
        <f>IF('WQv Calculation - Subtotal'!F18="","",'WQv Calculation - Subtotal'!F18)</f>
        <v/>
      </c>
      <c r="G29" s="441" t="str">
        <f>IF('WQv Calculation - Subtotal'!G18="","",'WQv Calculation - Subtotal'!G18)</f>
        <v/>
      </c>
    </row>
    <row r="30" spans="1:7" x14ac:dyDescent="0.25">
      <c r="A30" s="439">
        <v>27</v>
      </c>
      <c r="B30" s="148" t="str">
        <f>IF('WQv Calculation - Subtotal'!B19="","",'WQv Calculation - Subtotal'!B19)</f>
        <v/>
      </c>
      <c r="C30" s="148" t="str">
        <f>IF('WQv Calculation - Subtotal'!C19="","",'WQv Calculation - Subtotal'!C19)</f>
        <v/>
      </c>
      <c r="D30" s="148" t="str">
        <f>IF('WQv Calculation - Subtotal'!D19="","",'WQv Calculation - Subtotal'!D19)</f>
        <v/>
      </c>
      <c r="E30" s="148" t="str">
        <f>IF('WQv Calculation - Subtotal'!E19="","",'WQv Calculation - Subtotal'!E19)</f>
        <v/>
      </c>
      <c r="F30" s="148" t="str">
        <f>IF('WQv Calculation - Subtotal'!F19="","",'WQv Calculation - Subtotal'!F19)</f>
        <v/>
      </c>
      <c r="G30" s="441" t="str">
        <f>IF('WQv Calculation - Subtotal'!G19="","",'WQv Calculation - Subtotal'!G19)</f>
        <v/>
      </c>
    </row>
    <row r="31" spans="1:7" x14ac:dyDescent="0.25">
      <c r="A31" s="439">
        <v>28</v>
      </c>
      <c r="B31" s="148" t="str">
        <f>IF('WQv Calculation - Subtotal'!B20="","",'WQv Calculation - Subtotal'!B20)</f>
        <v/>
      </c>
      <c r="C31" s="148" t="str">
        <f>IF('WQv Calculation - Subtotal'!C20="","",'WQv Calculation - Subtotal'!C20)</f>
        <v/>
      </c>
      <c r="D31" s="148" t="str">
        <f>IF('WQv Calculation - Subtotal'!D20="","",'WQv Calculation - Subtotal'!D20)</f>
        <v/>
      </c>
      <c r="E31" s="148" t="str">
        <f>IF('WQv Calculation - Subtotal'!E20="","",'WQv Calculation - Subtotal'!E20)</f>
        <v/>
      </c>
      <c r="F31" s="148" t="str">
        <f>IF('WQv Calculation - Subtotal'!F20="","",'WQv Calculation - Subtotal'!F20)</f>
        <v/>
      </c>
      <c r="G31" s="441" t="str">
        <f>IF('WQv Calculation - Subtotal'!G20="","",'WQv Calculation - Subtotal'!G20)</f>
        <v/>
      </c>
    </row>
    <row r="32" spans="1:7" x14ac:dyDescent="0.25">
      <c r="A32" s="439">
        <v>29</v>
      </c>
      <c r="B32" s="148" t="str">
        <f>IF('WQv Calculation - Subtotal'!B21="","",'WQv Calculation - Subtotal'!B21)</f>
        <v/>
      </c>
      <c r="C32" s="148" t="str">
        <f>IF('WQv Calculation - Subtotal'!C21="","",'WQv Calculation - Subtotal'!C21)</f>
        <v/>
      </c>
      <c r="D32" s="148" t="str">
        <f>IF('WQv Calculation - Subtotal'!D21="","",'WQv Calculation - Subtotal'!D21)</f>
        <v/>
      </c>
      <c r="E32" s="148" t="str">
        <f>IF('WQv Calculation - Subtotal'!E21="","",'WQv Calculation - Subtotal'!E21)</f>
        <v/>
      </c>
      <c r="F32" s="148" t="str">
        <f>IF('WQv Calculation - Subtotal'!F21="","",'WQv Calculation - Subtotal'!F21)</f>
        <v/>
      </c>
      <c r="G32" s="441" t="str">
        <f>IF('WQv Calculation - Subtotal'!G21="","",'WQv Calculation - Subtotal'!G21)</f>
        <v/>
      </c>
    </row>
    <row r="33" spans="1:7" ht="15.75" thickBot="1" x14ac:dyDescent="0.3">
      <c r="A33" s="440">
        <v>30</v>
      </c>
      <c r="B33" s="442" t="str">
        <f>IF('WQv Calculation - Subtotal'!B22="","",'WQv Calculation - Subtotal'!B22)</f>
        <v/>
      </c>
      <c r="C33" s="442" t="str">
        <f>IF('WQv Calculation - Subtotal'!C22="","",'WQv Calculation - Subtotal'!C22)</f>
        <v/>
      </c>
      <c r="D33" s="442" t="str">
        <f>IF('WQv Calculation - Subtotal'!D22="","",'WQv Calculation - Subtotal'!D22)</f>
        <v/>
      </c>
      <c r="E33" s="442" t="str">
        <f>IF('WQv Calculation - Subtotal'!E22="","",'WQv Calculation - Subtotal'!E22)</f>
        <v/>
      </c>
      <c r="F33" s="442" t="str">
        <f>IF('WQv Calculation - Subtotal'!F22="","",'WQv Calculation - Subtotal'!F22)</f>
        <v/>
      </c>
      <c r="G33" s="443" t="str">
        <f>IF('WQv Calculation - Subtotal'!G22="","",'WQv Calculation - Subtotal'!G22)</f>
        <v/>
      </c>
    </row>
  </sheetData>
  <sheetProtection password="C7D7" sheet="1" objects="1" scenarios="1" formatColumns="0" formatRows="0"/>
  <mergeCells count="1">
    <mergeCell ref="A1:G1"/>
  </mergeCells>
  <pageMargins left="0.7" right="0.7" top="0.75" bottom="0.75" header="0.3" footer="0.3"/>
  <pageSetup orientation="portrait" r:id="rId1"/>
  <headerFooter>
    <oddHeader>&amp;CTotal Water Quality Volume Calculation
WQv(acre-feet) = [(P)(Rv)(A)] /12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5"/>
  <sheetViews>
    <sheetView view="pageLayout" zoomScaleNormal="100" workbookViewId="0">
      <selection activeCell="D20" sqref="D20"/>
    </sheetView>
  </sheetViews>
  <sheetFormatPr defaultRowHeight="15" x14ac:dyDescent="0.25"/>
  <cols>
    <col min="1" max="1" width="7.28515625" style="4" customWidth="1"/>
    <col min="2" max="2" width="33.5703125" style="4" customWidth="1"/>
    <col min="3" max="3" width="6.28515625" style="4" customWidth="1"/>
    <col min="4" max="4" width="11" style="4" customWidth="1"/>
    <col min="5" max="5" width="12" style="6" customWidth="1"/>
    <col min="6" max="6" width="9.5703125" style="7" customWidth="1"/>
    <col min="7" max="7" width="8.5703125" style="4" customWidth="1"/>
    <col min="8" max="8" width="11.42578125" style="4" bestFit="1" customWidth="1"/>
    <col min="9" max="9" width="9.140625" style="1"/>
    <col min="10" max="10" width="8.140625" style="1" customWidth="1"/>
    <col min="11" max="16" width="9.140625" style="1" hidden="1" customWidth="1"/>
    <col min="17" max="16384" width="9.140625" style="1"/>
  </cols>
  <sheetData>
    <row r="1" spans="1:9" ht="15" customHeight="1" x14ac:dyDescent="0.25">
      <c r="A1" s="688" t="s">
        <v>172</v>
      </c>
      <c r="B1" s="689"/>
      <c r="C1" s="689"/>
      <c r="D1" s="689"/>
      <c r="E1" s="689"/>
      <c r="F1" s="689"/>
      <c r="G1" s="689"/>
      <c r="H1" s="1"/>
    </row>
    <row r="2" spans="1:9" ht="60.6" customHeight="1" x14ac:dyDescent="0.25">
      <c r="A2" s="131"/>
      <c r="B2" s="39" t="s">
        <v>195</v>
      </c>
      <c r="C2" s="39"/>
      <c r="D2" s="42" t="s">
        <v>267</v>
      </c>
      <c r="E2" s="44" t="s">
        <v>188</v>
      </c>
      <c r="F2" s="44" t="s">
        <v>294</v>
      </c>
      <c r="G2" s="42" t="s">
        <v>194</v>
      </c>
      <c r="H2" s="1"/>
      <c r="I2" s="34"/>
    </row>
    <row r="3" spans="1:9" ht="15" customHeight="1" x14ac:dyDescent="0.25">
      <c r="A3" s="132"/>
      <c r="B3" s="40"/>
      <c r="C3" s="40"/>
      <c r="D3" s="43" t="s">
        <v>295</v>
      </c>
      <c r="E3" s="43" t="s">
        <v>295</v>
      </c>
      <c r="F3" s="43" t="s">
        <v>296</v>
      </c>
      <c r="G3" s="43" t="s">
        <v>296</v>
      </c>
      <c r="H3" s="1"/>
    </row>
    <row r="4" spans="1:9" ht="15" customHeight="1" x14ac:dyDescent="0.25">
      <c r="A4" s="690" t="s">
        <v>587</v>
      </c>
      <c r="B4" s="77" t="s">
        <v>219</v>
      </c>
      <c r="C4" s="77" t="s">
        <v>250</v>
      </c>
      <c r="D4" s="78">
        <f>+'Total WQv Calculation'!C23</f>
        <v>0</v>
      </c>
      <c r="E4" s="79">
        <f>+'Total WQv Calculation'!D23</f>
        <v>0</v>
      </c>
      <c r="F4" s="56"/>
      <c r="G4" s="35"/>
      <c r="H4" s="1"/>
    </row>
    <row r="5" spans="1:9" ht="30.2" customHeight="1" x14ac:dyDescent="0.25">
      <c r="A5" s="691"/>
      <c r="B5" s="77" t="s">
        <v>265</v>
      </c>
      <c r="C5" s="77" t="s">
        <v>251</v>
      </c>
      <c r="D5" s="78">
        <f>'Total WQv Calculation'!C24+'Total WQv Calculation'!C25</f>
        <v>0</v>
      </c>
      <c r="E5" s="79">
        <f>+'Total WQv Calculation'!D24+'Total WQv Calculation'!D25</f>
        <v>0</v>
      </c>
      <c r="F5" s="133"/>
      <c r="G5" s="36"/>
      <c r="H5" s="1"/>
    </row>
    <row r="6" spans="1:9" ht="15" customHeight="1" x14ac:dyDescent="0.25">
      <c r="A6" s="691"/>
      <c r="B6" s="77" t="s">
        <v>266</v>
      </c>
      <c r="C6" s="77" t="s">
        <v>252</v>
      </c>
      <c r="D6" s="78">
        <f>'Total WQv Calculation'!C26</f>
        <v>0</v>
      </c>
      <c r="E6" s="79">
        <f>+'Total WQv Calculation'!D26</f>
        <v>0</v>
      </c>
      <c r="F6" s="133"/>
      <c r="G6" s="36"/>
      <c r="H6" s="1"/>
    </row>
    <row r="7" spans="1:9" ht="15" customHeight="1" x14ac:dyDescent="0.25">
      <c r="A7" s="691"/>
      <c r="B7" s="77" t="s">
        <v>169</v>
      </c>
      <c r="C7" s="77" t="s">
        <v>253</v>
      </c>
      <c r="D7" s="130"/>
      <c r="E7" s="79">
        <f>+'Total WQv Calculation'!D34</f>
        <v>0</v>
      </c>
      <c r="F7" s="134"/>
      <c r="G7" s="378"/>
      <c r="H7" s="1"/>
    </row>
    <row r="8" spans="1:9" ht="15" customHeight="1" x14ac:dyDescent="0.25">
      <c r="A8" s="691"/>
      <c r="B8" s="77" t="s">
        <v>73</v>
      </c>
      <c r="C8" s="77" t="s">
        <v>254</v>
      </c>
      <c r="D8" s="79">
        <f>'Vegetated Swale'!J2</f>
        <v>0</v>
      </c>
      <c r="E8" s="135">
        <f>+'Vegetated Swale'!J3</f>
        <v>0</v>
      </c>
      <c r="F8" s="81">
        <f>+'Vegetated Swale'!J1</f>
        <v>0</v>
      </c>
      <c r="G8" s="378"/>
      <c r="H8" s="1"/>
    </row>
    <row r="9" spans="1:9" ht="15" customHeight="1" x14ac:dyDescent="0.25">
      <c r="A9" s="691"/>
      <c r="B9" s="77" t="s">
        <v>74</v>
      </c>
      <c r="C9" s="77" t="s">
        <v>255</v>
      </c>
      <c r="D9" s="79">
        <f>'Rain Garden'!J2</f>
        <v>0</v>
      </c>
      <c r="E9" s="129">
        <f>'Rain Garden'!J3</f>
        <v>0</v>
      </c>
      <c r="F9" s="82">
        <f>'Rain Garden'!J1</f>
        <v>0</v>
      </c>
      <c r="G9" s="37"/>
      <c r="H9" s="1"/>
    </row>
    <row r="10" spans="1:9" ht="15" customHeight="1" x14ac:dyDescent="0.25">
      <c r="A10" s="691"/>
      <c r="B10" s="77" t="s">
        <v>270</v>
      </c>
      <c r="C10" s="77" t="s">
        <v>256</v>
      </c>
      <c r="D10" s="79">
        <f>'Stormwater Planter'!J2</f>
        <v>0</v>
      </c>
      <c r="E10" s="129">
        <f>'Stormwater Planter'!J3</f>
        <v>0</v>
      </c>
      <c r="F10" s="82">
        <f>+'Stormwater Planter'!J1</f>
        <v>0</v>
      </c>
      <c r="G10" s="37"/>
      <c r="H10" s="1"/>
    </row>
    <row r="11" spans="1:9" ht="15" customHeight="1" x14ac:dyDescent="0.25">
      <c r="A11" s="691"/>
      <c r="B11" s="77" t="s">
        <v>271</v>
      </c>
      <c r="C11" s="77" t="s">
        <v>257</v>
      </c>
      <c r="D11" s="79">
        <f>'Cistern-Rainbarrel'!C159</f>
        <v>0</v>
      </c>
      <c r="E11" s="129">
        <f>'Cistern-Rainbarrel'!C160</f>
        <v>0</v>
      </c>
      <c r="F11" s="82">
        <f>'Cistern-Rainbarrel'!C158</f>
        <v>0</v>
      </c>
      <c r="G11" s="37"/>
      <c r="H11" s="1"/>
    </row>
    <row r="12" spans="1:9" ht="15" customHeight="1" x14ac:dyDescent="0.25">
      <c r="A12" s="691"/>
      <c r="B12" s="77" t="s">
        <v>272</v>
      </c>
      <c r="C12" s="77" t="s">
        <v>258</v>
      </c>
      <c r="D12" s="79">
        <f>'Porous Pavement'!J2</f>
        <v>0</v>
      </c>
      <c r="E12" s="129">
        <f>+'Porous Pavement'!J3</f>
        <v>0</v>
      </c>
      <c r="F12" s="82">
        <f>+'Porous Pavement'!J1</f>
        <v>0</v>
      </c>
      <c r="G12" s="37"/>
      <c r="H12" s="138"/>
    </row>
    <row r="13" spans="1:9" ht="15" customHeight="1" x14ac:dyDescent="0.25">
      <c r="A13" s="692"/>
      <c r="B13" s="77" t="s">
        <v>489</v>
      </c>
      <c r="C13" s="77" t="s">
        <v>269</v>
      </c>
      <c r="D13" s="79">
        <f>SUM('Green Roof (Ext)'!J2,'Green Roof (Intensive)'!J2)</f>
        <v>0</v>
      </c>
      <c r="E13" s="129">
        <f>+'Green Roof (Ext)'!J3+'Green Roof (Intensive)'!J4</f>
        <v>0</v>
      </c>
      <c r="F13" s="82">
        <f>+'Green Roof (Ext)'!J1+'Green Roof (Intensive)'!J1</f>
        <v>0</v>
      </c>
      <c r="G13" s="38"/>
      <c r="H13" s="34"/>
    </row>
    <row r="14" spans="1:9" ht="15" customHeight="1" x14ac:dyDescent="0.25">
      <c r="A14" s="690" t="s">
        <v>278</v>
      </c>
      <c r="B14" s="80" t="s">
        <v>273</v>
      </c>
      <c r="C14" s="80" t="s">
        <v>259</v>
      </c>
      <c r="D14" s="79">
        <f>'Infiltration Trench'!D133</f>
        <v>0</v>
      </c>
      <c r="E14" s="129">
        <f>'Infiltration Trench'!D134</f>
        <v>0</v>
      </c>
      <c r="F14" s="82">
        <f>+'Infiltration Trench'!D132</f>
        <v>0</v>
      </c>
      <c r="G14" s="57">
        <f>'Infiltration Trench'!D135</f>
        <v>0</v>
      </c>
      <c r="H14" s="34"/>
    </row>
    <row r="15" spans="1:9" ht="15" customHeight="1" x14ac:dyDescent="0.25">
      <c r="A15" s="691"/>
      <c r="B15" s="80" t="s">
        <v>33</v>
      </c>
      <c r="C15" s="80" t="s">
        <v>260</v>
      </c>
      <c r="D15" s="79">
        <f>'#Infiltration Basin'!D118</f>
        <v>0</v>
      </c>
      <c r="E15" s="129">
        <f>'#Infiltration Basin'!D119</f>
        <v>0</v>
      </c>
      <c r="F15" s="82">
        <f>'#Infiltration Basin'!D117</f>
        <v>0</v>
      </c>
      <c r="G15" s="57">
        <f>'#Infiltration Basin'!D120</f>
        <v>0</v>
      </c>
      <c r="H15" s="139"/>
    </row>
    <row r="16" spans="1:9" ht="15" customHeight="1" x14ac:dyDescent="0.25">
      <c r="A16" s="691"/>
      <c r="B16" s="80" t="s">
        <v>274</v>
      </c>
      <c r="C16" s="80" t="s">
        <v>261</v>
      </c>
      <c r="D16" s="79">
        <f>'Dry Well'!D145</f>
        <v>0</v>
      </c>
      <c r="E16" s="129">
        <f>'Dry Well'!D146</f>
        <v>0</v>
      </c>
      <c r="F16" s="82">
        <f>+'Dry Well'!D144</f>
        <v>0</v>
      </c>
      <c r="G16" s="57">
        <f>'Dry Well'!D147</f>
        <v>0</v>
      </c>
      <c r="H16" s="139"/>
    </row>
    <row r="17" spans="1:8" ht="15" customHeight="1" x14ac:dyDescent="0.25">
      <c r="A17" s="691"/>
      <c r="B17" s="80" t="s">
        <v>275</v>
      </c>
      <c r="C17" s="80" t="s">
        <v>262</v>
      </c>
      <c r="D17" s="79">
        <f>'Infiltration Trench'!D133</f>
        <v>0</v>
      </c>
      <c r="E17" s="129"/>
      <c r="F17" s="82"/>
      <c r="G17" s="83"/>
      <c r="H17" s="139"/>
    </row>
    <row r="18" spans="1:8" ht="30.2" customHeight="1" x14ac:dyDescent="0.25">
      <c r="A18" s="691"/>
      <c r="B18" s="80" t="s">
        <v>488</v>
      </c>
      <c r="C18" s="80" t="s">
        <v>263</v>
      </c>
      <c r="D18" s="79">
        <f>SUM(Bioretention!C154,'Infiltration Bioretention'!J2)</f>
        <v>0</v>
      </c>
      <c r="E18" s="129">
        <f>SUM(Bioretention!C155,'Infiltration Bioretention'!J3)</f>
        <v>0</v>
      </c>
      <c r="F18" s="82">
        <f>SUM(Bioretention!C153,'Infiltration Bioretention'!J1)</f>
        <v>0</v>
      </c>
      <c r="G18" s="57">
        <f>SUM(Bioretention!C156,'Infiltration Bioretention'!J4)</f>
        <v>0</v>
      </c>
      <c r="H18" s="138"/>
    </row>
    <row r="19" spans="1:8" ht="15" customHeight="1" x14ac:dyDescent="0.25">
      <c r="A19" s="692"/>
      <c r="B19" s="80" t="s">
        <v>277</v>
      </c>
      <c r="C19" s="80" t="s">
        <v>264</v>
      </c>
      <c r="D19" s="79">
        <f>SUM('Dry Swale'!D114)</f>
        <v>0</v>
      </c>
      <c r="E19" s="129">
        <f>'Dry Swale'!D115</f>
        <v>0</v>
      </c>
      <c r="F19" s="82">
        <f>'Dry Swale'!D113</f>
        <v>0</v>
      </c>
      <c r="G19" s="57">
        <f>'Dry Swale'!D116</f>
        <v>0</v>
      </c>
      <c r="H19" s="138"/>
    </row>
    <row r="20" spans="1:8" ht="15" customHeight="1" x14ac:dyDescent="0.25">
      <c r="A20" s="690" t="s">
        <v>293</v>
      </c>
      <c r="B20" s="77" t="s">
        <v>173</v>
      </c>
      <c r="C20" s="77" t="s">
        <v>279</v>
      </c>
      <c r="D20" s="637"/>
      <c r="E20" s="104"/>
      <c r="F20" s="41"/>
      <c r="G20" s="639"/>
      <c r="H20" s="138"/>
    </row>
    <row r="21" spans="1:8" ht="15" customHeight="1" x14ac:dyDescent="0.25">
      <c r="A21" s="691"/>
      <c r="B21" s="77" t="s">
        <v>174</v>
      </c>
      <c r="C21" s="77" t="s">
        <v>280</v>
      </c>
      <c r="D21" s="637"/>
      <c r="E21" s="104"/>
      <c r="F21" s="9"/>
      <c r="G21" s="639"/>
      <c r="H21" s="138"/>
    </row>
    <row r="22" spans="1:8" ht="15" customHeight="1" x14ac:dyDescent="0.25">
      <c r="A22" s="691"/>
      <c r="B22" s="80" t="s">
        <v>175</v>
      </c>
      <c r="C22" s="80" t="s">
        <v>281</v>
      </c>
      <c r="D22" s="637"/>
      <c r="E22" s="104"/>
      <c r="F22" s="9"/>
      <c r="G22" s="639"/>
      <c r="H22" s="34"/>
    </row>
    <row r="23" spans="1:8" ht="15" customHeight="1" x14ac:dyDescent="0.25">
      <c r="A23" s="691"/>
      <c r="B23" s="80" t="s">
        <v>176</v>
      </c>
      <c r="C23" s="80" t="s">
        <v>282</v>
      </c>
      <c r="D23" s="637"/>
      <c r="E23" s="104"/>
      <c r="F23" s="9"/>
      <c r="G23" s="639"/>
      <c r="H23" s="34"/>
    </row>
    <row r="24" spans="1:8" ht="15" customHeight="1" x14ac:dyDescent="0.25">
      <c r="A24" s="691"/>
      <c r="B24" s="80" t="s">
        <v>177</v>
      </c>
      <c r="C24" s="80" t="s">
        <v>283</v>
      </c>
      <c r="D24" s="637"/>
      <c r="E24" s="104"/>
      <c r="F24" s="9"/>
      <c r="G24" s="639"/>
      <c r="H24" s="34"/>
    </row>
    <row r="25" spans="1:8" ht="15" customHeight="1" x14ac:dyDescent="0.25">
      <c r="A25" s="691"/>
      <c r="B25" s="80" t="s">
        <v>178</v>
      </c>
      <c r="C25" s="80" t="s">
        <v>284</v>
      </c>
      <c r="D25" s="637"/>
      <c r="E25" s="104"/>
      <c r="F25" s="9"/>
      <c r="G25" s="639"/>
      <c r="H25" s="34"/>
    </row>
    <row r="26" spans="1:8" ht="15" customHeight="1" x14ac:dyDescent="0.25">
      <c r="A26" s="691"/>
      <c r="B26" s="80" t="s">
        <v>179</v>
      </c>
      <c r="C26" s="80" t="s">
        <v>285</v>
      </c>
      <c r="D26" s="637"/>
      <c r="E26" s="104"/>
      <c r="F26" s="9"/>
      <c r="G26" s="639"/>
      <c r="H26" s="34"/>
    </row>
    <row r="27" spans="1:8" ht="15" customHeight="1" x14ac:dyDescent="0.25">
      <c r="A27" s="691"/>
      <c r="B27" s="80" t="s">
        <v>180</v>
      </c>
      <c r="C27" s="80" t="s">
        <v>286</v>
      </c>
      <c r="D27" s="637"/>
      <c r="E27" s="104"/>
      <c r="F27" s="9"/>
      <c r="G27" s="639"/>
      <c r="H27" s="34"/>
    </row>
    <row r="28" spans="1:8" ht="15" customHeight="1" x14ac:dyDescent="0.25">
      <c r="A28" s="691"/>
      <c r="B28" s="80" t="s">
        <v>181</v>
      </c>
      <c r="C28" s="80" t="s">
        <v>287</v>
      </c>
      <c r="D28" s="637"/>
      <c r="E28" s="104"/>
      <c r="F28" s="9"/>
      <c r="G28" s="639"/>
      <c r="H28" s="34"/>
    </row>
    <row r="29" spans="1:8" ht="15" customHeight="1" x14ac:dyDescent="0.25">
      <c r="A29" s="691"/>
      <c r="B29" s="80" t="s">
        <v>182</v>
      </c>
      <c r="C29" s="80" t="s">
        <v>288</v>
      </c>
      <c r="D29" s="637"/>
      <c r="E29" s="104"/>
      <c r="F29" s="9"/>
      <c r="G29" s="639"/>
      <c r="H29" s="34"/>
    </row>
    <row r="30" spans="1:8" ht="15" customHeight="1" x14ac:dyDescent="0.25">
      <c r="A30" s="691"/>
      <c r="B30" s="80" t="s">
        <v>183</v>
      </c>
      <c r="C30" s="80" t="s">
        <v>289</v>
      </c>
      <c r="D30" s="637"/>
      <c r="E30" s="104"/>
      <c r="F30" s="9"/>
      <c r="G30" s="639"/>
      <c r="H30" s="34"/>
    </row>
    <row r="31" spans="1:8" ht="15" customHeight="1" x14ac:dyDescent="0.25">
      <c r="A31" s="691"/>
      <c r="B31" s="80" t="s">
        <v>184</v>
      </c>
      <c r="C31" s="80" t="s">
        <v>290</v>
      </c>
      <c r="D31" s="637"/>
      <c r="E31" s="104"/>
      <c r="F31" s="9"/>
      <c r="G31" s="639"/>
      <c r="H31" s="34"/>
    </row>
    <row r="32" spans="1:8" ht="15" customHeight="1" x14ac:dyDescent="0.25">
      <c r="A32" s="691"/>
      <c r="B32" s="80" t="s">
        <v>185</v>
      </c>
      <c r="C32" s="80" t="s">
        <v>291</v>
      </c>
      <c r="D32" s="637"/>
      <c r="E32" s="104"/>
      <c r="F32" s="9"/>
      <c r="G32" s="639"/>
      <c r="H32" s="34"/>
    </row>
    <row r="33" spans="1:8" ht="15" customHeight="1" thickBot="1" x14ac:dyDescent="0.3">
      <c r="A33" s="691"/>
      <c r="B33" s="386" t="s">
        <v>186</v>
      </c>
      <c r="C33" s="386" t="s">
        <v>292</v>
      </c>
      <c r="D33" s="273"/>
      <c r="E33" s="638"/>
      <c r="F33" s="387"/>
      <c r="G33" s="640"/>
      <c r="H33" s="34"/>
    </row>
    <row r="34" spans="1:8" ht="19.350000000000001" customHeight="1" x14ac:dyDescent="0.25">
      <c r="A34" s="693" t="s">
        <v>591</v>
      </c>
      <c r="B34" s="694"/>
      <c r="C34" s="388" t="s">
        <v>595</v>
      </c>
      <c r="D34" s="389">
        <f>SUM(D4:D6)</f>
        <v>0</v>
      </c>
      <c r="E34" s="389">
        <f>SUM(E4:E7)</f>
        <v>0</v>
      </c>
      <c r="F34" s="390">
        <f>'Total WQv Calculation'!G36</f>
        <v>0</v>
      </c>
      <c r="G34" s="391"/>
      <c r="H34" s="34"/>
    </row>
    <row r="35" spans="1:8" ht="19.350000000000001" customHeight="1" x14ac:dyDescent="0.25">
      <c r="A35" s="684" t="s">
        <v>592</v>
      </c>
      <c r="B35" s="685"/>
      <c r="C35" s="385" t="s">
        <v>595</v>
      </c>
      <c r="D35" s="79">
        <f>SUM(D8:D13)</f>
        <v>0</v>
      </c>
      <c r="E35" s="79">
        <f>SUM(E8:E13)</f>
        <v>0</v>
      </c>
      <c r="F35" s="377">
        <f>SUM(F8:F13)</f>
        <v>0</v>
      </c>
      <c r="G35" s="392"/>
      <c r="H35" s="34"/>
    </row>
    <row r="36" spans="1:8" ht="19.350000000000001" customHeight="1" x14ac:dyDescent="0.25">
      <c r="A36" s="684" t="s">
        <v>593</v>
      </c>
      <c r="B36" s="685"/>
      <c r="C36" s="385" t="s">
        <v>595</v>
      </c>
      <c r="D36" s="79">
        <f>SUM(D14:D19)</f>
        <v>0</v>
      </c>
      <c r="E36" s="79">
        <f>SUM(E14:E19)</f>
        <v>0</v>
      </c>
      <c r="F36" s="377">
        <f>SUM(F14:F19)</f>
        <v>0</v>
      </c>
      <c r="G36" s="393">
        <f>SUM(G14:G19)</f>
        <v>0</v>
      </c>
      <c r="H36" s="34"/>
    </row>
    <row r="37" spans="1:8" ht="19.350000000000001" customHeight="1" x14ac:dyDescent="0.25">
      <c r="A37" s="684" t="s">
        <v>594</v>
      </c>
      <c r="B37" s="685"/>
      <c r="C37" s="385" t="s">
        <v>595</v>
      </c>
      <c r="D37" s="79">
        <f>SUM(D20:D33)</f>
        <v>0</v>
      </c>
      <c r="E37" s="79">
        <f>SUM(E20:E33)</f>
        <v>0</v>
      </c>
      <c r="F37" s="376"/>
      <c r="G37" s="393">
        <f>SUM(G20:G33)</f>
        <v>0</v>
      </c>
      <c r="H37" s="34"/>
    </row>
    <row r="38" spans="1:8" ht="20.100000000000001" customHeight="1" thickBot="1" x14ac:dyDescent="0.3">
      <c r="A38" s="686" t="s">
        <v>596</v>
      </c>
      <c r="B38" s="687"/>
      <c r="C38" s="394" t="s">
        <v>595</v>
      </c>
      <c r="D38" s="395">
        <f>SUM(D34:D37)</f>
        <v>0</v>
      </c>
      <c r="E38" s="395">
        <f>SUM(E34:E37)</f>
        <v>0</v>
      </c>
      <c r="F38" s="396">
        <f>SUM(F34:F37)</f>
        <v>0</v>
      </c>
      <c r="G38" s="397">
        <f>SUM(G34:G37)</f>
        <v>0</v>
      </c>
      <c r="H38" s="34"/>
    </row>
    <row r="39" spans="1:8" ht="15" customHeight="1" x14ac:dyDescent="0.25">
      <c r="A39" s="136"/>
      <c r="B39" s="10" t="s">
        <v>312</v>
      </c>
      <c r="C39" s="10" t="str">
        <f>IF(E38='Total WQv Calculation'!C17,"okay","error")</f>
        <v>okay</v>
      </c>
      <c r="D39" s="10"/>
      <c r="E39" s="137"/>
      <c r="F39" s="137"/>
      <c r="G39" s="10"/>
      <c r="H39" s="1"/>
    </row>
    <row r="40" spans="1:8" ht="15" customHeight="1" x14ac:dyDescent="0.25">
      <c r="A40" s="136"/>
      <c r="B40" s="10" t="s">
        <v>503</v>
      </c>
      <c r="C40" s="10" t="str">
        <f>IF(D38='Total WQv Calculation'!B17,"okay","error")</f>
        <v>okay</v>
      </c>
      <c r="D40" s="10"/>
      <c r="E40" s="137"/>
      <c r="F40" s="137"/>
      <c r="G40" s="10"/>
      <c r="H40" s="1"/>
    </row>
    <row r="41" spans="1:8" x14ac:dyDescent="0.25">
      <c r="H41" s="1"/>
    </row>
    <row r="42" spans="1:8" x14ac:dyDescent="0.25">
      <c r="H42" s="1"/>
    </row>
    <row r="43" spans="1:8" x14ac:dyDescent="0.25">
      <c r="H43" s="1"/>
    </row>
    <row r="44" spans="1:8" x14ac:dyDescent="0.25">
      <c r="H44" s="1"/>
    </row>
    <row r="45" spans="1:8" x14ac:dyDescent="0.25">
      <c r="H45" s="1"/>
    </row>
  </sheetData>
  <sheetProtection password="C7D7" sheet="1" objects="1" scenarios="1" formatColumns="0" formatRows="0"/>
  <mergeCells count="9">
    <mergeCell ref="A35:B35"/>
    <mergeCell ref="A36:B36"/>
    <mergeCell ref="A37:B37"/>
    <mergeCell ref="A38:B38"/>
    <mergeCell ref="A1:G1"/>
    <mergeCell ref="A14:A19"/>
    <mergeCell ref="A20:A33"/>
    <mergeCell ref="A4:A13"/>
    <mergeCell ref="A34:B34"/>
  </mergeCells>
  <printOptions gridLines="1"/>
  <pageMargins left="0.7" right="0.7" top="1"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4"/>
  <sheetViews>
    <sheetView view="pageLayout" zoomScaleNormal="100" workbookViewId="0">
      <selection sqref="A1:G1"/>
    </sheetView>
  </sheetViews>
  <sheetFormatPr defaultRowHeight="15" x14ac:dyDescent="0.25"/>
  <cols>
    <col min="1" max="1" width="14.85546875" style="4" customWidth="1"/>
    <col min="2" max="2" width="12.5703125" style="4" bestFit="1" customWidth="1"/>
    <col min="3" max="16384" width="9.140625" style="4"/>
  </cols>
  <sheetData>
    <row r="1" spans="1:9" ht="15" customHeight="1" x14ac:dyDescent="0.25">
      <c r="A1" s="696" t="s">
        <v>215</v>
      </c>
      <c r="B1" s="697"/>
      <c r="C1" s="697"/>
      <c r="D1" s="697"/>
      <c r="E1" s="697"/>
      <c r="F1" s="697"/>
      <c r="G1" s="697"/>
      <c r="H1" s="127"/>
      <c r="I1" s="127"/>
    </row>
    <row r="2" spans="1:9" ht="15" customHeight="1" x14ac:dyDescent="0.25">
      <c r="A2" s="225" t="s">
        <v>216</v>
      </c>
      <c r="B2" s="228" t="s">
        <v>198</v>
      </c>
      <c r="C2" s="228" t="s">
        <v>425</v>
      </c>
      <c r="D2" s="248"/>
      <c r="E2" s="248"/>
      <c r="F2" s="248"/>
      <c r="G2" s="248"/>
      <c r="H2" s="17"/>
      <c r="I2" s="17"/>
    </row>
    <row r="3" spans="1:9" ht="15" customHeight="1" x14ac:dyDescent="0.25">
      <c r="A3" s="230" t="s">
        <v>13</v>
      </c>
      <c r="B3" s="104"/>
      <c r="C3" s="249">
        <v>0.55000000000000004</v>
      </c>
      <c r="D3" s="248"/>
      <c r="E3" s="248"/>
      <c r="F3" s="248"/>
      <c r="G3" s="248"/>
      <c r="H3" s="17"/>
      <c r="I3" s="17"/>
    </row>
    <row r="4" spans="1:9" ht="15" customHeight="1" x14ac:dyDescent="0.25">
      <c r="A4" s="230" t="s">
        <v>25</v>
      </c>
      <c r="B4" s="104"/>
      <c r="C4" s="249">
        <v>0.4</v>
      </c>
      <c r="D4" s="248"/>
      <c r="E4" s="248"/>
      <c r="F4" s="248"/>
      <c r="G4" s="248"/>
      <c r="H4" s="17"/>
      <c r="I4" s="17"/>
    </row>
    <row r="5" spans="1:9" ht="15" customHeight="1" x14ac:dyDescent="0.25">
      <c r="A5" s="230" t="s">
        <v>27</v>
      </c>
      <c r="B5" s="104"/>
      <c r="C5" s="249">
        <v>0.3</v>
      </c>
      <c r="D5" s="248"/>
      <c r="E5" s="248"/>
      <c r="F5" s="248"/>
      <c r="G5" s="248"/>
      <c r="H5" s="17"/>
      <c r="I5" s="17"/>
    </row>
    <row r="6" spans="1:9" ht="15" customHeight="1" x14ac:dyDescent="0.25">
      <c r="A6" s="193" t="s">
        <v>28</v>
      </c>
      <c r="B6" s="250"/>
      <c r="C6" s="251">
        <v>0.2</v>
      </c>
      <c r="D6" s="238"/>
      <c r="E6" s="238"/>
      <c r="F6" s="238"/>
      <c r="G6" s="238"/>
    </row>
    <row r="7" spans="1:9" ht="15" customHeight="1" x14ac:dyDescent="0.25">
      <c r="A7" s="230" t="s">
        <v>5</v>
      </c>
      <c r="B7" s="230">
        <f>SUM(B3:B6)</f>
        <v>0</v>
      </c>
      <c r="C7" s="238"/>
      <c r="D7" s="238"/>
      <c r="E7" s="238"/>
      <c r="F7" s="238"/>
      <c r="G7" s="238"/>
    </row>
    <row r="8" spans="1:9" ht="15" customHeight="1" x14ac:dyDescent="0.25">
      <c r="A8" s="698" t="s">
        <v>217</v>
      </c>
      <c r="B8" s="699"/>
      <c r="C8" s="699"/>
      <c r="D8" s="699"/>
      <c r="E8" s="699"/>
      <c r="F8" s="699"/>
      <c r="G8" s="699"/>
      <c r="H8" s="128"/>
      <c r="I8" s="128"/>
    </row>
    <row r="9" spans="1:9" ht="15" customHeight="1" x14ac:dyDescent="0.25">
      <c r="A9" s="230" t="s">
        <v>212</v>
      </c>
      <c r="B9" s="194" t="str">
        <f>IF(B7=0,"",(B3*C3+B4*C4+B5*C5+B6*C6)/B7)</f>
        <v/>
      </c>
      <c r="C9" s="226"/>
      <c r="D9" s="695"/>
      <c r="E9" s="695"/>
      <c r="F9" s="695"/>
      <c r="G9" s="695"/>
    </row>
    <row r="10" spans="1:9" ht="15" customHeight="1" x14ac:dyDescent="0.25">
      <c r="A10" s="230" t="s">
        <v>213</v>
      </c>
      <c r="B10" s="403">
        <f>+'Total WQv Calculation'!C18</f>
        <v>0</v>
      </c>
      <c r="C10" s="227" t="s">
        <v>218</v>
      </c>
      <c r="D10" s="21"/>
      <c r="E10" s="21"/>
      <c r="F10" s="21"/>
      <c r="G10" s="21"/>
    </row>
    <row r="11" spans="1:9" ht="15" customHeight="1" x14ac:dyDescent="0.25">
      <c r="A11" s="230" t="s">
        <v>71</v>
      </c>
      <c r="B11" s="235">
        <f>+'Total WQv Calculation'!B4</f>
        <v>0</v>
      </c>
      <c r="C11" s="227" t="s">
        <v>0</v>
      </c>
      <c r="D11" s="238"/>
      <c r="E11" s="238"/>
      <c r="F11" s="238"/>
      <c r="G11" s="238"/>
    </row>
    <row r="12" spans="1:9" ht="15" customHeight="1" x14ac:dyDescent="0.25">
      <c r="A12" s="230" t="s">
        <v>214</v>
      </c>
      <c r="B12" s="236">
        <f>0.05+0.009*100</f>
        <v>0.95</v>
      </c>
      <c r="C12" s="227"/>
      <c r="D12" s="238"/>
      <c r="E12" s="238"/>
      <c r="F12" s="238"/>
      <c r="G12" s="238"/>
    </row>
    <row r="13" spans="1:9" ht="15" customHeight="1" x14ac:dyDescent="0.25">
      <c r="A13" s="210" t="s">
        <v>31</v>
      </c>
      <c r="B13" s="195" t="e">
        <f>(B9*B10*B11*B12)/12*43560</f>
        <v>#VALUE!</v>
      </c>
      <c r="C13" s="174" t="s">
        <v>145</v>
      </c>
      <c r="D13" s="238"/>
      <c r="E13" s="238"/>
      <c r="F13" s="238"/>
      <c r="G13" s="238"/>
    </row>
    <row r="14" spans="1:9" ht="15" customHeight="1" x14ac:dyDescent="0.25">
      <c r="A14" s="146"/>
      <c r="B14" s="78" t="e">
        <f>B13/43560</f>
        <v>#VALUE!</v>
      </c>
      <c r="C14" s="226" t="s">
        <v>473</v>
      </c>
      <c r="D14" s="146"/>
      <c r="E14" s="146"/>
      <c r="F14" s="146"/>
      <c r="G14" s="146"/>
    </row>
  </sheetData>
  <sheetProtection password="C7D7" sheet="1" objects="1" scenarios="1" formatColumns="0" formatRows="0"/>
  <mergeCells count="3">
    <mergeCell ref="D9:G9"/>
    <mergeCell ref="A1:G1"/>
    <mergeCell ref="A8:G8"/>
  </mergeCells>
  <pageMargins left="1.2" right="1.2" top="1" bottom="0.75" header="0.3" footer="0.3"/>
  <pageSetup orientation="portrait" r:id="rId1"/>
  <headerFooter>
    <oddHeader>&amp;C&amp;18Minimum RRv</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V69"/>
  <sheetViews>
    <sheetView showWhiteSpace="0" view="pageLayout" workbookViewId="0">
      <selection activeCell="E19" sqref="E19"/>
    </sheetView>
  </sheetViews>
  <sheetFormatPr defaultRowHeight="15" x14ac:dyDescent="0.25"/>
  <cols>
    <col min="1" max="1" width="7.28515625" style="4" customWidth="1"/>
    <col min="2" max="2" width="33.5703125" style="4" customWidth="1"/>
    <col min="3" max="3" width="6.28515625" style="4" customWidth="1"/>
    <col min="4" max="4" width="9" style="4" customWidth="1"/>
    <col min="5" max="5" width="12" style="6" customWidth="1"/>
    <col min="6" max="6" width="9.5703125" style="7" customWidth="1"/>
    <col min="7" max="7" width="8.5703125" style="4" customWidth="1"/>
    <col min="8" max="8" width="9.5703125" style="4" bestFit="1" customWidth="1"/>
    <col min="9" max="9" width="9.140625" style="4"/>
    <col min="10" max="10" width="8.140625" style="4" customWidth="1"/>
    <col min="11" max="16" width="9.140625" style="4" hidden="1" customWidth="1"/>
    <col min="17" max="22" width="9.140625" style="4"/>
    <col min="23" max="16384" width="9.140625" style="1"/>
  </cols>
  <sheetData>
    <row r="2" spans="1:22" s="12" customFormat="1" ht="21.6" customHeight="1" x14ac:dyDescent="0.25">
      <c r="A2" s="252" t="s">
        <v>302</v>
      </c>
      <c r="B2" s="705" t="s">
        <v>303</v>
      </c>
      <c r="C2" s="705"/>
      <c r="D2" s="705"/>
      <c r="E2" s="705"/>
      <c r="F2" s="700" t="s">
        <v>475</v>
      </c>
      <c r="G2" s="701"/>
      <c r="H2" s="146"/>
      <c r="I2" s="146"/>
      <c r="J2" s="146"/>
      <c r="K2" s="146"/>
      <c r="L2" s="146"/>
      <c r="M2" s="146"/>
      <c r="N2" s="146"/>
      <c r="O2" s="146"/>
      <c r="P2" s="146"/>
      <c r="Q2" s="146"/>
      <c r="R2" s="146"/>
      <c r="S2" s="146"/>
      <c r="T2" s="146"/>
      <c r="U2" s="146"/>
      <c r="V2" s="146"/>
    </row>
    <row r="3" spans="1:22" ht="15" customHeight="1" x14ac:dyDescent="0.25">
      <c r="A3" s="229"/>
      <c r="B3" s="708"/>
      <c r="C3" s="708"/>
      <c r="D3" s="708"/>
      <c r="E3" s="708"/>
      <c r="F3" s="253" t="s">
        <v>296</v>
      </c>
      <c r="G3" s="228" t="s">
        <v>473</v>
      </c>
    </row>
    <row r="4" spans="1:22" ht="20.85" customHeight="1" x14ac:dyDescent="0.25">
      <c r="A4" s="141">
        <v>28</v>
      </c>
      <c r="B4" s="706" t="s">
        <v>588</v>
      </c>
      <c r="C4" s="706"/>
      <c r="D4" s="706"/>
      <c r="E4" s="707"/>
      <c r="F4" s="72">
        <f>IF('Total WQv Calculation'!F18="",0,'Total WQv Calculation'!F18)</f>
        <v>0</v>
      </c>
      <c r="G4" s="140">
        <f>F4/43560</f>
        <v>0</v>
      </c>
      <c r="H4" s="164"/>
      <c r="I4" s="164"/>
      <c r="J4" s="164"/>
      <c r="K4" s="164"/>
      <c r="L4" s="164"/>
      <c r="M4" s="164"/>
      <c r="N4" s="164"/>
      <c r="O4" s="164"/>
      <c r="P4" s="164"/>
      <c r="Q4" s="164"/>
      <c r="R4" s="164"/>
      <c r="S4" s="164"/>
      <c r="T4" s="164"/>
      <c r="U4" s="164"/>
      <c r="V4" s="164"/>
    </row>
    <row r="5" spans="1:22" ht="20.85" customHeight="1" x14ac:dyDescent="0.25">
      <c r="A5" s="141">
        <v>30</v>
      </c>
      <c r="B5" s="706" t="s">
        <v>589</v>
      </c>
      <c r="C5" s="706"/>
      <c r="D5" s="706"/>
      <c r="E5" s="707"/>
      <c r="F5" s="72">
        <f>'Summary Table'!F38</f>
        <v>0</v>
      </c>
      <c r="G5" s="140">
        <f>F5/43560</f>
        <v>0</v>
      </c>
    </row>
    <row r="6" spans="1:22" ht="20.85" customHeight="1" x14ac:dyDescent="0.25">
      <c r="A6" s="141">
        <v>31</v>
      </c>
      <c r="B6" s="704" t="s">
        <v>192</v>
      </c>
      <c r="C6" s="704"/>
      <c r="D6" s="704"/>
      <c r="E6" s="704"/>
      <c r="F6" s="702" t="str">
        <f>IF(F5&gt;=F4,"Yes","No")</f>
        <v>Yes</v>
      </c>
      <c r="G6" s="703"/>
      <c r="H6" s="164"/>
      <c r="I6" s="164"/>
      <c r="J6" s="164"/>
      <c r="K6" s="164"/>
      <c r="L6" s="164"/>
      <c r="M6" s="164"/>
      <c r="N6" s="164"/>
      <c r="O6" s="164"/>
      <c r="P6" s="164"/>
      <c r="Q6" s="164"/>
      <c r="R6" s="164"/>
      <c r="S6" s="164"/>
      <c r="T6" s="164"/>
      <c r="U6" s="164"/>
      <c r="V6" s="164"/>
    </row>
    <row r="7" spans="1:22" ht="20.85" customHeight="1" x14ac:dyDescent="0.25">
      <c r="A7" s="141">
        <v>32</v>
      </c>
      <c r="B7" s="704" t="s">
        <v>31</v>
      </c>
      <c r="C7" s="704"/>
      <c r="D7" s="704"/>
      <c r="E7" s="704"/>
      <c r="F7" s="72" t="e">
        <f>'minimum RRv'!B13</f>
        <v>#VALUE!</v>
      </c>
      <c r="G7" s="140" t="e">
        <f>F7/43560</f>
        <v>#VALUE!</v>
      </c>
      <c r="H7" s="164"/>
      <c r="I7" s="164"/>
      <c r="J7" s="164"/>
      <c r="K7" s="164"/>
      <c r="L7" s="164"/>
      <c r="M7" s="164"/>
      <c r="N7" s="164"/>
      <c r="O7" s="164"/>
      <c r="P7" s="164"/>
      <c r="Q7" s="164"/>
      <c r="R7" s="164"/>
      <c r="S7" s="164"/>
      <c r="T7" s="164"/>
      <c r="U7" s="164"/>
      <c r="V7" s="164"/>
    </row>
    <row r="8" spans="1:22" ht="20.85" customHeight="1" x14ac:dyDescent="0.25">
      <c r="A8" s="141" t="s">
        <v>297</v>
      </c>
      <c r="B8" s="706" t="s">
        <v>193</v>
      </c>
      <c r="C8" s="706"/>
      <c r="D8" s="706"/>
      <c r="E8" s="706"/>
      <c r="F8" s="702" t="e">
        <f>IF(F5&gt;F7,"Yes","No")</f>
        <v>#VALUE!</v>
      </c>
      <c r="G8" s="703"/>
      <c r="H8" s="164"/>
      <c r="I8" s="164"/>
      <c r="J8" s="164"/>
      <c r="K8" s="164"/>
      <c r="L8" s="164"/>
      <c r="M8" s="164"/>
      <c r="N8" s="164"/>
      <c r="O8" s="164"/>
      <c r="P8" s="164"/>
      <c r="Q8" s="164"/>
      <c r="R8" s="164"/>
      <c r="S8" s="164"/>
      <c r="T8" s="164"/>
      <c r="U8" s="164"/>
      <c r="V8" s="164"/>
    </row>
    <row r="9" spans="1:22" ht="20.85" customHeight="1" x14ac:dyDescent="0.25">
      <c r="A9" s="398"/>
      <c r="B9" s="711" t="e">
        <f>IF(F8="No", "Contact Regional Office"," ")</f>
        <v>#VALUE!</v>
      </c>
      <c r="C9" s="712"/>
      <c r="D9" s="712"/>
      <c r="E9" s="712"/>
      <c r="F9" s="712"/>
      <c r="G9" s="713"/>
      <c r="H9" s="164"/>
      <c r="I9" s="164"/>
      <c r="J9" s="164"/>
      <c r="K9" s="164"/>
      <c r="L9" s="164"/>
      <c r="M9" s="164"/>
      <c r="N9" s="164"/>
      <c r="O9" s="164"/>
      <c r="P9" s="164"/>
      <c r="Q9" s="164"/>
      <c r="R9" s="164"/>
      <c r="S9" s="164"/>
      <c r="T9" s="164"/>
      <c r="U9" s="164"/>
      <c r="V9" s="164"/>
    </row>
    <row r="10" spans="1:22" ht="21.6" customHeight="1" x14ac:dyDescent="0.25">
      <c r="A10" s="141" t="s">
        <v>474</v>
      </c>
      <c r="B10" s="706" t="s">
        <v>590</v>
      </c>
      <c r="C10" s="706"/>
      <c r="D10" s="706"/>
      <c r="E10" s="707"/>
      <c r="F10" s="72">
        <f>'Summary Table'!G38</f>
        <v>0</v>
      </c>
      <c r="G10" s="140">
        <f>F10/43560</f>
        <v>0</v>
      </c>
    </row>
    <row r="11" spans="1:22" ht="21.6" customHeight="1" x14ac:dyDescent="0.25">
      <c r="A11" s="141">
        <v>34</v>
      </c>
      <c r="B11" s="706" t="s">
        <v>301</v>
      </c>
      <c r="C11" s="706"/>
      <c r="D11" s="706"/>
      <c r="E11" s="707"/>
      <c r="F11" s="72">
        <f>SUM(F5,F10)</f>
        <v>0</v>
      </c>
      <c r="G11" s="140">
        <f>F11/43560</f>
        <v>0</v>
      </c>
      <c r="H11" s="75" t="str">
        <f>IF(F11=0,"",F5/F11)</f>
        <v/>
      </c>
    </row>
    <row r="12" spans="1:22" ht="21.6" customHeight="1" x14ac:dyDescent="0.25">
      <c r="A12" s="141">
        <v>34</v>
      </c>
      <c r="B12" s="707" t="s">
        <v>298</v>
      </c>
      <c r="C12" s="709"/>
      <c r="D12" s="709"/>
      <c r="E12" s="710"/>
      <c r="F12" s="72">
        <f>+'Summary Table'!F38+'Summary Table'!G38</f>
        <v>0</v>
      </c>
      <c r="G12" s="140">
        <f>+F12/43560</f>
        <v>0</v>
      </c>
      <c r="H12" s="1"/>
      <c r="I12" s="1"/>
      <c r="J12" s="1"/>
      <c r="K12" s="1"/>
      <c r="L12" s="1"/>
      <c r="M12" s="1"/>
      <c r="N12" s="1"/>
      <c r="O12" s="1"/>
      <c r="P12" s="1"/>
      <c r="Q12" s="1"/>
      <c r="R12" s="1"/>
      <c r="S12" s="1"/>
      <c r="T12" s="1"/>
      <c r="U12" s="1"/>
      <c r="V12" s="1"/>
    </row>
    <row r="13" spans="1:22" ht="21.6" customHeight="1" x14ac:dyDescent="0.25">
      <c r="A13" s="141">
        <v>35</v>
      </c>
      <c r="B13" s="704" t="s">
        <v>424</v>
      </c>
      <c r="C13" s="704"/>
      <c r="D13" s="704"/>
      <c r="E13" s="704"/>
      <c r="F13" s="702" t="str">
        <f>IF(ABS(F11-F4)&gt;1,"No", "Yes")</f>
        <v>Yes</v>
      </c>
      <c r="G13" s="703"/>
      <c r="H13" s="1"/>
      <c r="I13" s="1"/>
      <c r="J13" s="1"/>
      <c r="K13" s="1"/>
      <c r="L13" s="1"/>
      <c r="M13" s="1"/>
      <c r="N13" s="1"/>
      <c r="O13" s="1"/>
      <c r="P13" s="1"/>
      <c r="Q13" s="1"/>
      <c r="R13" s="1"/>
      <c r="S13" s="1"/>
      <c r="T13" s="1"/>
      <c r="U13" s="1"/>
      <c r="V13" s="1"/>
    </row>
    <row r="14" spans="1:22" ht="21.6" customHeight="1" x14ac:dyDescent="0.25">
      <c r="A14" s="146"/>
      <c r="B14" s="717" t="str">
        <f>IF(F13="NO","Contact Regional Office"," ")</f>
        <v xml:space="preserve"> </v>
      </c>
      <c r="C14" s="717"/>
      <c r="D14" s="717"/>
      <c r="E14" s="717"/>
      <c r="F14" s="717"/>
      <c r="G14" s="717"/>
      <c r="H14" s="1"/>
      <c r="I14" s="1"/>
      <c r="J14" s="1"/>
      <c r="K14" s="1"/>
      <c r="L14" s="1"/>
      <c r="M14" s="1"/>
      <c r="N14" s="1"/>
      <c r="O14" s="1"/>
      <c r="P14" s="1"/>
      <c r="Q14" s="1"/>
      <c r="R14" s="1"/>
      <c r="S14" s="1"/>
      <c r="T14" s="1"/>
      <c r="U14" s="1"/>
      <c r="V14" s="1"/>
    </row>
    <row r="15" spans="1:22" ht="21.6" customHeight="1" x14ac:dyDescent="0.25">
      <c r="A15" s="718" t="s">
        <v>299</v>
      </c>
      <c r="B15" s="718"/>
      <c r="C15" s="718"/>
      <c r="D15" s="718"/>
      <c r="E15" s="718"/>
      <c r="F15" s="718"/>
      <c r="G15" s="718"/>
      <c r="H15" s="1"/>
      <c r="I15" s="1"/>
      <c r="J15" s="1"/>
      <c r="K15" s="1"/>
      <c r="L15" s="1"/>
      <c r="M15" s="1"/>
      <c r="N15" s="1"/>
      <c r="O15" s="1"/>
      <c r="P15" s="1"/>
      <c r="Q15" s="1"/>
      <c r="R15" s="1"/>
      <c r="S15" s="1"/>
      <c r="T15" s="1"/>
      <c r="U15" s="1"/>
      <c r="V15" s="1"/>
    </row>
    <row r="16" spans="1:22" ht="21.6" customHeight="1" x14ac:dyDescent="0.25">
      <c r="A16" s="141">
        <v>36</v>
      </c>
      <c r="B16" s="716" t="s">
        <v>64</v>
      </c>
      <c r="C16" s="716"/>
      <c r="D16" s="716"/>
      <c r="E16" s="60" t="s">
        <v>69</v>
      </c>
      <c r="F16" s="254"/>
      <c r="G16" s="73"/>
      <c r="H16" s="1"/>
      <c r="I16" s="1"/>
      <c r="J16" s="1"/>
      <c r="K16" s="1"/>
      <c r="L16" s="1"/>
      <c r="M16" s="1"/>
      <c r="N16" s="1"/>
      <c r="O16" s="1"/>
      <c r="P16" s="1"/>
      <c r="Q16" s="1"/>
      <c r="R16" s="1"/>
      <c r="S16" s="1"/>
      <c r="T16" s="1"/>
      <c r="U16" s="1"/>
      <c r="V16" s="1"/>
    </row>
    <row r="17" spans="1:22" ht="21.6" customHeight="1" x14ac:dyDescent="0.25">
      <c r="A17" s="141">
        <v>37</v>
      </c>
      <c r="B17" s="716" t="s">
        <v>65</v>
      </c>
      <c r="C17" s="716"/>
      <c r="D17" s="716"/>
      <c r="E17" s="60" t="s">
        <v>67</v>
      </c>
      <c r="F17" s="254"/>
      <c r="G17" s="73"/>
      <c r="H17" s="1"/>
      <c r="I17" s="1"/>
      <c r="J17" s="1"/>
      <c r="K17" s="1"/>
      <c r="L17" s="1"/>
      <c r="M17" s="1"/>
      <c r="N17" s="1"/>
      <c r="O17" s="1"/>
      <c r="P17" s="1"/>
      <c r="Q17" s="1"/>
      <c r="R17" s="1"/>
      <c r="S17" s="1"/>
      <c r="T17" s="1"/>
      <c r="U17" s="1"/>
      <c r="V17" s="1"/>
    </row>
    <row r="18" spans="1:22" ht="21.6" customHeight="1" x14ac:dyDescent="0.25">
      <c r="A18" s="141">
        <v>37</v>
      </c>
      <c r="B18" s="716" t="s">
        <v>66</v>
      </c>
      <c r="C18" s="716"/>
      <c r="D18" s="716"/>
      <c r="E18" s="60" t="s">
        <v>68</v>
      </c>
      <c r="F18" s="255"/>
      <c r="G18" s="256"/>
      <c r="H18" s="1"/>
      <c r="I18" s="1"/>
      <c r="J18" s="1"/>
      <c r="K18" s="1"/>
      <c r="L18" s="1"/>
      <c r="M18" s="1"/>
      <c r="N18" s="1"/>
      <c r="O18" s="1"/>
      <c r="P18" s="1"/>
      <c r="Q18" s="1"/>
      <c r="R18" s="1"/>
      <c r="S18" s="1"/>
      <c r="T18" s="1"/>
      <c r="U18" s="1"/>
      <c r="V18" s="1"/>
    </row>
    <row r="19" spans="1:22" ht="21.6" customHeight="1" x14ac:dyDescent="0.25">
      <c r="A19" s="226"/>
      <c r="B19" s="716" t="s">
        <v>187</v>
      </c>
      <c r="C19" s="716"/>
      <c r="D19" s="716"/>
      <c r="E19" s="95"/>
      <c r="F19" s="714" t="str">
        <f>IF(E19="","",IF(E19="Yes", "Plan Completed", "Deviation From Standards"))</f>
        <v/>
      </c>
      <c r="G19" s="715"/>
      <c r="H19" s="1"/>
      <c r="I19" s="1"/>
      <c r="J19" s="1"/>
      <c r="K19" s="1"/>
      <c r="L19" s="1"/>
      <c r="M19" s="1"/>
      <c r="N19" s="1"/>
      <c r="O19" s="1"/>
      <c r="P19" s="1"/>
      <c r="Q19" s="1"/>
      <c r="R19" s="1"/>
      <c r="S19" s="1"/>
      <c r="T19" s="1"/>
      <c r="U19" s="1"/>
      <c r="V19" s="1"/>
    </row>
    <row r="20" spans="1:22" x14ac:dyDescent="0.25">
      <c r="H20" s="1"/>
      <c r="I20" s="1"/>
      <c r="J20" s="1"/>
      <c r="K20" s="1"/>
      <c r="L20" s="1"/>
      <c r="M20" s="1"/>
      <c r="N20" s="1"/>
      <c r="O20" s="1"/>
      <c r="P20" s="1"/>
      <c r="Q20" s="1"/>
      <c r="R20" s="1"/>
      <c r="S20" s="1"/>
      <c r="T20" s="1"/>
      <c r="U20" s="1"/>
      <c r="V20" s="1"/>
    </row>
    <row r="21" spans="1:22" x14ac:dyDescent="0.25">
      <c r="B21" s="1"/>
      <c r="C21" s="1"/>
      <c r="D21" s="1"/>
      <c r="E21" s="8"/>
      <c r="F21" s="11"/>
      <c r="G21" s="1"/>
      <c r="H21" s="1"/>
      <c r="I21" s="1"/>
      <c r="J21" s="1"/>
      <c r="K21" s="1"/>
      <c r="L21" s="1"/>
      <c r="M21" s="1"/>
      <c r="N21" s="1"/>
      <c r="O21" s="1"/>
      <c r="P21" s="1"/>
      <c r="Q21" s="1"/>
      <c r="R21" s="1"/>
      <c r="S21" s="1"/>
      <c r="T21" s="1"/>
      <c r="U21" s="1"/>
      <c r="V21" s="1"/>
    </row>
    <row r="22" spans="1:22" x14ac:dyDescent="0.25">
      <c r="B22" s="1"/>
      <c r="C22" s="1"/>
      <c r="D22" s="1"/>
      <c r="E22" s="8"/>
      <c r="F22" s="11"/>
      <c r="G22" s="1"/>
      <c r="H22" s="1"/>
      <c r="I22" s="1"/>
      <c r="J22" s="1"/>
      <c r="K22" s="1"/>
      <c r="L22" s="1"/>
      <c r="M22" s="1"/>
      <c r="N22" s="1"/>
      <c r="O22" s="1"/>
      <c r="P22" s="1"/>
      <c r="Q22" s="1"/>
      <c r="R22" s="1"/>
      <c r="S22" s="1"/>
      <c r="T22" s="1"/>
      <c r="U22" s="1"/>
      <c r="V22" s="1"/>
    </row>
    <row r="23" spans="1:22" x14ac:dyDescent="0.25">
      <c r="B23" s="1"/>
      <c r="C23" s="1"/>
      <c r="D23" s="1"/>
      <c r="E23" s="8"/>
      <c r="F23" s="11"/>
      <c r="G23" s="1"/>
      <c r="H23" s="1"/>
      <c r="I23" s="1"/>
      <c r="J23" s="1"/>
      <c r="K23" s="1"/>
      <c r="L23" s="1"/>
      <c r="M23" s="1"/>
      <c r="N23" s="1"/>
      <c r="O23" s="1"/>
      <c r="P23" s="1"/>
      <c r="Q23" s="1"/>
      <c r="R23" s="1"/>
      <c r="S23" s="1"/>
      <c r="T23" s="1"/>
      <c r="U23" s="1"/>
      <c r="V23" s="1"/>
    </row>
    <row r="24" spans="1:22" x14ac:dyDescent="0.25">
      <c r="B24" s="1"/>
      <c r="C24" s="1"/>
      <c r="D24" s="1"/>
      <c r="E24" s="8"/>
      <c r="F24" s="11"/>
      <c r="G24" s="1"/>
      <c r="H24" s="1"/>
      <c r="I24" s="1"/>
      <c r="J24" s="1"/>
      <c r="K24" s="1"/>
      <c r="L24" s="1"/>
      <c r="M24" s="1"/>
      <c r="N24" s="1"/>
      <c r="O24" s="1"/>
      <c r="P24" s="1"/>
      <c r="Q24" s="1"/>
      <c r="R24" s="1"/>
      <c r="S24" s="1"/>
      <c r="T24" s="1"/>
      <c r="U24" s="1"/>
      <c r="V24" s="1"/>
    </row>
    <row r="25" spans="1:22" x14ac:dyDescent="0.25">
      <c r="B25" s="1"/>
      <c r="C25" s="1"/>
      <c r="D25" s="1"/>
      <c r="E25" s="8"/>
      <c r="F25" s="11"/>
      <c r="G25" s="1"/>
      <c r="H25" s="1"/>
      <c r="I25" s="1"/>
      <c r="J25" s="1"/>
      <c r="K25" s="1"/>
      <c r="L25" s="1"/>
      <c r="M25" s="1"/>
      <c r="N25" s="1"/>
      <c r="O25" s="1"/>
      <c r="P25" s="1"/>
      <c r="Q25" s="1"/>
      <c r="R25" s="1"/>
      <c r="S25" s="1"/>
      <c r="T25" s="1"/>
      <c r="U25" s="1"/>
      <c r="V25" s="1"/>
    </row>
    <row r="26" spans="1:22" x14ac:dyDescent="0.25">
      <c r="B26" s="1"/>
      <c r="C26" s="1"/>
      <c r="D26" s="1"/>
      <c r="E26" s="8"/>
      <c r="F26" s="11"/>
      <c r="G26" s="1"/>
      <c r="H26" s="1"/>
      <c r="I26" s="1"/>
      <c r="J26" s="1"/>
      <c r="K26" s="1"/>
      <c r="L26" s="1"/>
      <c r="M26" s="1"/>
      <c r="N26" s="1"/>
      <c r="O26" s="1"/>
      <c r="P26" s="1"/>
      <c r="Q26" s="1"/>
      <c r="R26" s="1"/>
      <c r="S26" s="1"/>
      <c r="T26" s="1"/>
      <c r="U26" s="1"/>
      <c r="V26" s="1"/>
    </row>
    <row r="27" spans="1:22" x14ac:dyDescent="0.25">
      <c r="H27" s="1"/>
      <c r="I27" s="1"/>
      <c r="J27" s="1"/>
      <c r="K27" s="1"/>
      <c r="L27" s="1"/>
      <c r="M27" s="1"/>
      <c r="N27" s="1"/>
      <c r="O27" s="1"/>
      <c r="P27" s="1"/>
      <c r="Q27" s="1"/>
      <c r="R27" s="1"/>
      <c r="S27" s="1"/>
      <c r="T27" s="1"/>
      <c r="U27" s="1"/>
      <c r="V27" s="1"/>
    </row>
    <row r="28" spans="1:22" x14ac:dyDescent="0.25">
      <c r="H28" s="1"/>
      <c r="I28" s="1"/>
      <c r="J28" s="1"/>
      <c r="K28" s="1"/>
      <c r="L28" s="1"/>
      <c r="M28" s="1"/>
      <c r="N28" s="1"/>
      <c r="O28" s="1"/>
      <c r="P28" s="1"/>
      <c r="Q28" s="1"/>
      <c r="R28" s="1"/>
      <c r="S28" s="1"/>
      <c r="T28" s="1"/>
      <c r="U28" s="1"/>
      <c r="V28" s="1"/>
    </row>
    <row r="29" spans="1:22" x14ac:dyDescent="0.25">
      <c r="H29" s="1"/>
      <c r="I29" s="1"/>
      <c r="J29" s="1"/>
      <c r="K29" s="1"/>
      <c r="L29" s="1"/>
      <c r="M29" s="1"/>
      <c r="N29" s="1"/>
      <c r="O29" s="1"/>
      <c r="P29" s="1"/>
      <c r="Q29" s="1"/>
      <c r="R29" s="1"/>
      <c r="S29" s="1"/>
      <c r="T29" s="1"/>
      <c r="U29" s="1"/>
      <c r="V29" s="1"/>
    </row>
    <row r="30" spans="1:22" ht="15" customHeight="1" x14ac:dyDescent="0.25">
      <c r="H30" s="1"/>
      <c r="I30" s="1"/>
      <c r="J30" s="1"/>
      <c r="K30" s="1"/>
      <c r="L30" s="1"/>
      <c r="M30" s="1"/>
      <c r="N30" s="1"/>
      <c r="O30" s="1"/>
      <c r="P30" s="1"/>
      <c r="Q30" s="1"/>
      <c r="R30" s="1"/>
      <c r="S30" s="1"/>
      <c r="T30" s="1"/>
      <c r="U30" s="1"/>
      <c r="V30" s="1"/>
    </row>
    <row r="31" spans="1:22" x14ac:dyDescent="0.25">
      <c r="H31" s="1"/>
      <c r="I31" s="1"/>
      <c r="J31" s="1"/>
      <c r="K31" s="1"/>
      <c r="L31" s="1"/>
      <c r="M31" s="1"/>
      <c r="N31" s="1"/>
      <c r="O31" s="1"/>
      <c r="P31" s="1"/>
      <c r="Q31" s="1"/>
      <c r="R31" s="1"/>
      <c r="S31" s="1"/>
      <c r="T31" s="1"/>
      <c r="U31" s="1"/>
      <c r="V31" s="1"/>
    </row>
    <row r="32" spans="1:22" x14ac:dyDescent="0.25">
      <c r="H32" s="1"/>
      <c r="I32" s="1"/>
      <c r="J32" s="1"/>
      <c r="K32" s="1"/>
      <c r="L32" s="1"/>
      <c r="M32" s="1"/>
      <c r="N32" s="1"/>
      <c r="O32" s="1"/>
      <c r="P32" s="1"/>
      <c r="Q32" s="1"/>
      <c r="R32" s="1"/>
      <c r="S32" s="1"/>
      <c r="T32" s="1"/>
      <c r="U32" s="1"/>
      <c r="V32" s="1"/>
    </row>
    <row r="33" spans="8:22" x14ac:dyDescent="0.25">
      <c r="H33" s="1"/>
      <c r="I33" s="1"/>
      <c r="J33" s="1"/>
      <c r="K33" s="1"/>
      <c r="L33" s="1"/>
      <c r="M33" s="1"/>
      <c r="N33" s="1"/>
      <c r="O33" s="1"/>
      <c r="P33" s="1"/>
      <c r="Q33" s="1"/>
      <c r="R33" s="1"/>
      <c r="S33" s="1"/>
      <c r="T33" s="1"/>
      <c r="U33" s="1"/>
      <c r="V33" s="1"/>
    </row>
    <row r="34" spans="8:22" x14ac:dyDescent="0.25">
      <c r="H34" s="1"/>
      <c r="I34" s="1"/>
      <c r="J34" s="1"/>
      <c r="K34" s="1"/>
      <c r="L34" s="1"/>
      <c r="M34" s="1"/>
      <c r="N34" s="1"/>
      <c r="O34" s="1"/>
      <c r="P34" s="1"/>
      <c r="Q34" s="1"/>
      <c r="R34" s="1"/>
      <c r="S34" s="1"/>
      <c r="T34" s="1"/>
      <c r="U34" s="1"/>
      <c r="V34" s="1"/>
    </row>
    <row r="35" spans="8:22" ht="27.75" customHeight="1" x14ac:dyDescent="0.25">
      <c r="H35" s="1"/>
      <c r="I35" s="1"/>
      <c r="J35" s="1"/>
      <c r="K35" s="1"/>
      <c r="L35" s="1"/>
      <c r="M35" s="1"/>
      <c r="N35" s="1"/>
      <c r="O35" s="1"/>
      <c r="P35" s="1"/>
      <c r="Q35" s="1"/>
      <c r="R35" s="1"/>
      <c r="S35" s="1"/>
      <c r="T35" s="1"/>
      <c r="U35" s="1"/>
      <c r="V35" s="1"/>
    </row>
    <row r="36" spans="8:22" x14ac:dyDescent="0.25">
      <c r="H36" s="1"/>
      <c r="I36" s="1"/>
      <c r="J36" s="1"/>
      <c r="K36" s="1"/>
      <c r="L36" s="1"/>
      <c r="M36" s="1"/>
      <c r="N36" s="1"/>
      <c r="O36" s="1"/>
      <c r="P36" s="1"/>
      <c r="Q36" s="1"/>
      <c r="R36" s="1"/>
      <c r="S36" s="1"/>
      <c r="T36" s="1"/>
      <c r="U36" s="1"/>
      <c r="V36" s="1"/>
    </row>
    <row r="37" spans="8:22" x14ac:dyDescent="0.25">
      <c r="H37" s="1"/>
      <c r="I37" s="1"/>
      <c r="J37" s="1"/>
      <c r="K37" s="1"/>
      <c r="L37" s="1"/>
      <c r="M37" s="1"/>
      <c r="N37" s="1"/>
      <c r="O37" s="1"/>
      <c r="P37" s="1"/>
      <c r="Q37" s="1"/>
      <c r="R37" s="1"/>
      <c r="S37" s="1"/>
      <c r="T37" s="1"/>
      <c r="U37" s="1"/>
      <c r="V37" s="1"/>
    </row>
    <row r="38" spans="8:22" x14ac:dyDescent="0.25">
      <c r="H38" s="1"/>
      <c r="I38" s="1"/>
      <c r="J38" s="1"/>
      <c r="K38" s="1"/>
      <c r="L38" s="1"/>
      <c r="M38" s="1"/>
      <c r="N38" s="1"/>
      <c r="O38" s="1"/>
      <c r="P38" s="1"/>
      <c r="Q38" s="1"/>
      <c r="R38" s="1"/>
      <c r="S38" s="1"/>
      <c r="T38" s="1"/>
      <c r="U38" s="1"/>
      <c r="V38" s="1"/>
    </row>
    <row r="39" spans="8:22" x14ac:dyDescent="0.25">
      <c r="H39" s="1"/>
      <c r="I39" s="1"/>
      <c r="J39" s="1"/>
      <c r="K39" s="1"/>
      <c r="L39" s="1"/>
      <c r="M39" s="1"/>
      <c r="N39" s="1"/>
      <c r="O39" s="1"/>
      <c r="P39" s="1"/>
      <c r="Q39" s="1"/>
      <c r="R39" s="1"/>
      <c r="S39" s="1"/>
      <c r="T39" s="1"/>
      <c r="U39" s="1"/>
      <c r="V39" s="1"/>
    </row>
    <row r="40" spans="8:22" x14ac:dyDescent="0.25">
      <c r="H40" s="1"/>
      <c r="I40" s="1"/>
      <c r="J40" s="1"/>
      <c r="K40" s="1"/>
      <c r="L40" s="1"/>
      <c r="M40" s="1"/>
      <c r="N40" s="1"/>
      <c r="O40" s="1"/>
      <c r="P40" s="1"/>
      <c r="Q40" s="1"/>
      <c r="R40" s="1"/>
      <c r="S40" s="1"/>
      <c r="T40" s="1"/>
      <c r="U40" s="1"/>
      <c r="V40" s="1"/>
    </row>
    <row r="41" spans="8:22" x14ac:dyDescent="0.25">
      <c r="H41" s="1"/>
      <c r="I41" s="1"/>
      <c r="J41" s="1"/>
      <c r="K41" s="1"/>
      <c r="L41" s="1"/>
      <c r="M41" s="1"/>
      <c r="N41" s="1"/>
      <c r="O41" s="1"/>
      <c r="P41" s="1"/>
      <c r="Q41" s="1"/>
      <c r="R41" s="1"/>
      <c r="S41" s="1"/>
      <c r="T41" s="1"/>
      <c r="U41" s="1"/>
      <c r="V41" s="1"/>
    </row>
    <row r="42" spans="8:22" x14ac:dyDescent="0.25">
      <c r="H42" s="1"/>
      <c r="I42" s="1"/>
      <c r="J42" s="1"/>
      <c r="K42" s="1"/>
      <c r="L42" s="1"/>
      <c r="M42" s="1"/>
      <c r="N42" s="1"/>
      <c r="O42" s="1"/>
      <c r="P42" s="1"/>
      <c r="Q42" s="1"/>
      <c r="R42" s="1"/>
      <c r="S42" s="1"/>
      <c r="T42" s="1"/>
      <c r="U42" s="1"/>
      <c r="V42" s="1"/>
    </row>
    <row r="43" spans="8:22" x14ac:dyDescent="0.25">
      <c r="H43" s="10"/>
      <c r="I43" s="1"/>
      <c r="J43" s="1"/>
      <c r="K43" s="1"/>
      <c r="L43" s="1"/>
      <c r="M43" s="1"/>
      <c r="N43" s="1"/>
      <c r="O43" s="1"/>
      <c r="P43" s="1"/>
      <c r="Q43" s="1"/>
      <c r="R43" s="1"/>
      <c r="S43" s="1"/>
      <c r="T43" s="1"/>
      <c r="U43" s="1"/>
      <c r="V43" s="1"/>
    </row>
    <row r="44" spans="8:22" x14ac:dyDescent="0.25">
      <c r="H44" s="1"/>
      <c r="I44" s="1"/>
      <c r="J44" s="1"/>
      <c r="K44" s="1"/>
      <c r="L44" s="1"/>
      <c r="M44" s="1"/>
      <c r="N44" s="1"/>
      <c r="O44" s="1"/>
      <c r="P44" s="1"/>
      <c r="Q44" s="1"/>
      <c r="R44" s="1"/>
      <c r="S44" s="1"/>
      <c r="T44" s="1"/>
      <c r="U44" s="1"/>
      <c r="V44" s="1"/>
    </row>
    <row r="45" spans="8:22" ht="30" customHeight="1" x14ac:dyDescent="0.25">
      <c r="H45" s="1"/>
      <c r="I45" s="1"/>
      <c r="J45" s="1"/>
      <c r="K45" s="1"/>
      <c r="L45" s="1"/>
      <c r="M45" s="1"/>
      <c r="N45" s="1"/>
      <c r="O45" s="1"/>
      <c r="P45" s="1"/>
      <c r="Q45" s="1"/>
      <c r="R45" s="1"/>
      <c r="S45" s="1"/>
      <c r="T45" s="1"/>
      <c r="U45" s="1"/>
      <c r="V45" s="1"/>
    </row>
    <row r="46" spans="8:22" ht="29.25" customHeight="1" x14ac:dyDescent="0.25">
      <c r="H46" s="1"/>
      <c r="I46" s="1"/>
      <c r="J46" s="1"/>
      <c r="K46" s="1"/>
      <c r="L46" s="1"/>
      <c r="M46" s="1"/>
      <c r="N46" s="1"/>
      <c r="O46" s="1"/>
      <c r="P46" s="1"/>
      <c r="Q46" s="1"/>
      <c r="R46" s="1"/>
      <c r="S46" s="1"/>
      <c r="T46" s="1"/>
      <c r="U46" s="1"/>
      <c r="V46" s="1"/>
    </row>
    <row r="47" spans="8:22" ht="31.5" customHeight="1" x14ac:dyDescent="0.25">
      <c r="H47" s="1"/>
      <c r="I47" s="1"/>
      <c r="J47" s="1"/>
      <c r="K47" s="1"/>
      <c r="L47" s="1"/>
      <c r="M47" s="1"/>
      <c r="N47" s="1"/>
      <c r="O47" s="1"/>
      <c r="P47" s="1"/>
      <c r="Q47" s="1"/>
      <c r="R47" s="1"/>
      <c r="S47" s="1"/>
      <c r="T47" s="1"/>
      <c r="U47" s="1"/>
      <c r="V47" s="1"/>
    </row>
    <row r="48" spans="8:22" x14ac:dyDescent="0.25">
      <c r="H48" s="1"/>
      <c r="I48" s="1"/>
      <c r="J48" s="1"/>
      <c r="K48" s="1"/>
      <c r="L48" s="1"/>
      <c r="M48" s="1"/>
      <c r="N48" s="1"/>
      <c r="O48" s="1"/>
      <c r="P48" s="1"/>
      <c r="Q48" s="1"/>
      <c r="R48" s="1"/>
      <c r="S48" s="1"/>
      <c r="T48" s="1"/>
      <c r="U48" s="1"/>
      <c r="V48" s="1"/>
    </row>
    <row r="49" spans="8:22" x14ac:dyDescent="0.25">
      <c r="H49" s="1"/>
      <c r="I49" s="1"/>
      <c r="J49" s="1"/>
      <c r="K49" s="1"/>
      <c r="L49" s="1"/>
      <c r="M49" s="1"/>
      <c r="N49" s="1"/>
      <c r="O49" s="1"/>
      <c r="P49" s="1"/>
      <c r="Q49" s="1"/>
      <c r="R49" s="1"/>
      <c r="S49" s="1"/>
      <c r="T49" s="1"/>
      <c r="U49" s="1"/>
      <c r="V49" s="1"/>
    </row>
    <row r="50" spans="8:22" x14ac:dyDescent="0.25">
      <c r="H50" s="1"/>
      <c r="I50" s="1"/>
      <c r="J50" s="1"/>
      <c r="K50" s="1"/>
      <c r="L50" s="1"/>
      <c r="M50" s="1"/>
      <c r="N50" s="1"/>
      <c r="O50" s="1"/>
      <c r="P50" s="1"/>
      <c r="Q50" s="1"/>
      <c r="R50" s="1"/>
      <c r="S50" s="1"/>
      <c r="T50" s="1"/>
      <c r="U50" s="1"/>
      <c r="V50" s="1"/>
    </row>
    <row r="51" spans="8:22" x14ac:dyDescent="0.25">
      <c r="H51" s="1"/>
      <c r="I51" s="1"/>
      <c r="J51" s="1"/>
      <c r="K51" s="1"/>
      <c r="L51" s="1"/>
      <c r="M51" s="1"/>
      <c r="N51" s="1"/>
      <c r="O51" s="1"/>
      <c r="P51" s="1"/>
      <c r="Q51" s="1"/>
      <c r="R51" s="1"/>
      <c r="S51" s="1"/>
      <c r="T51" s="1"/>
      <c r="U51" s="1"/>
      <c r="V51" s="1"/>
    </row>
    <row r="52" spans="8:22" x14ac:dyDescent="0.25">
      <c r="H52" s="1"/>
      <c r="I52" s="1"/>
      <c r="J52" s="1"/>
      <c r="K52" s="1"/>
      <c r="L52" s="1"/>
      <c r="M52" s="1"/>
      <c r="N52" s="1"/>
      <c r="O52" s="1"/>
      <c r="P52" s="1"/>
      <c r="Q52" s="1"/>
      <c r="R52" s="1"/>
      <c r="S52" s="1"/>
      <c r="T52" s="1"/>
      <c r="U52" s="1"/>
      <c r="V52" s="1"/>
    </row>
    <row r="53" spans="8:22" x14ac:dyDescent="0.25">
      <c r="H53" s="1"/>
      <c r="I53" s="1"/>
      <c r="J53" s="1"/>
      <c r="K53" s="1"/>
      <c r="L53" s="1"/>
      <c r="M53" s="1"/>
      <c r="N53" s="1"/>
      <c r="O53" s="1"/>
      <c r="P53" s="1"/>
      <c r="Q53" s="1"/>
      <c r="R53" s="1"/>
      <c r="S53" s="1"/>
      <c r="T53" s="1"/>
      <c r="U53" s="1"/>
      <c r="V53" s="1"/>
    </row>
    <row r="54" spans="8:22" x14ac:dyDescent="0.25">
      <c r="H54" s="1"/>
      <c r="I54" s="1"/>
      <c r="J54" s="1"/>
      <c r="K54" s="1"/>
      <c r="L54" s="1"/>
      <c r="M54" s="1"/>
      <c r="N54" s="1"/>
      <c r="O54" s="1"/>
      <c r="P54" s="1"/>
      <c r="Q54" s="1"/>
      <c r="R54" s="1"/>
      <c r="S54" s="1"/>
      <c r="T54" s="1"/>
      <c r="U54" s="1"/>
      <c r="V54" s="1"/>
    </row>
    <row r="55" spans="8:22" x14ac:dyDescent="0.25">
      <c r="H55" s="12"/>
      <c r="I55" s="12"/>
      <c r="J55" s="12"/>
      <c r="K55" s="12"/>
      <c r="L55" s="1"/>
      <c r="M55" s="1"/>
      <c r="N55" s="1"/>
      <c r="O55" s="1"/>
      <c r="P55" s="1"/>
      <c r="Q55" s="1"/>
      <c r="R55" s="1"/>
      <c r="S55" s="1"/>
      <c r="T55" s="1"/>
      <c r="U55" s="1"/>
      <c r="V55" s="1"/>
    </row>
    <row r="56" spans="8:22" x14ac:dyDescent="0.25">
      <c r="H56" s="1"/>
      <c r="I56" s="1"/>
      <c r="J56" s="1"/>
      <c r="K56" s="1"/>
      <c r="L56" s="1"/>
      <c r="M56" s="1"/>
      <c r="N56" s="1"/>
      <c r="O56" s="1"/>
      <c r="P56" s="1"/>
      <c r="Q56" s="1"/>
      <c r="R56" s="1"/>
      <c r="S56" s="1"/>
      <c r="T56" s="1"/>
      <c r="U56" s="1"/>
      <c r="V56" s="1"/>
    </row>
    <row r="57" spans="8:22" x14ac:dyDescent="0.25">
      <c r="H57" s="1"/>
      <c r="I57" s="1"/>
      <c r="J57" s="1"/>
      <c r="K57" s="1"/>
      <c r="L57" s="1"/>
      <c r="M57" s="1"/>
      <c r="N57" s="1"/>
      <c r="O57" s="1"/>
      <c r="P57" s="1"/>
      <c r="Q57" s="1"/>
      <c r="R57" s="1"/>
      <c r="S57" s="1"/>
      <c r="T57" s="1"/>
      <c r="U57" s="1"/>
      <c r="V57" s="1"/>
    </row>
    <row r="58" spans="8:22" x14ac:dyDescent="0.25">
      <c r="H58" s="1"/>
      <c r="I58" s="1"/>
      <c r="J58" s="1"/>
      <c r="K58" s="1"/>
      <c r="L58" s="1"/>
      <c r="M58" s="1"/>
      <c r="N58" s="1"/>
      <c r="O58" s="1"/>
      <c r="P58" s="1"/>
      <c r="Q58" s="1"/>
      <c r="R58" s="1"/>
      <c r="S58" s="1"/>
      <c r="T58" s="1"/>
      <c r="U58" s="1"/>
      <c r="V58" s="1"/>
    </row>
    <row r="59" spans="8:22" x14ac:dyDescent="0.25">
      <c r="H59" s="1"/>
      <c r="I59" s="1"/>
      <c r="J59" s="1"/>
      <c r="K59" s="1"/>
      <c r="L59" s="1"/>
      <c r="M59" s="1"/>
      <c r="N59" s="1"/>
      <c r="O59" s="1"/>
      <c r="P59" s="1"/>
      <c r="Q59" s="1"/>
      <c r="R59" s="1"/>
      <c r="S59" s="1"/>
      <c r="T59" s="1"/>
      <c r="U59" s="1"/>
      <c r="V59" s="1"/>
    </row>
    <row r="60" spans="8:22" x14ac:dyDescent="0.25">
      <c r="H60" s="1"/>
      <c r="I60" s="1"/>
      <c r="J60" s="1"/>
      <c r="K60" s="1"/>
      <c r="L60" s="1"/>
      <c r="M60" s="1"/>
      <c r="N60" s="1"/>
      <c r="O60" s="1"/>
      <c r="P60" s="1"/>
      <c r="Q60" s="1"/>
      <c r="R60" s="1"/>
      <c r="S60" s="1"/>
      <c r="T60" s="1"/>
      <c r="U60" s="1"/>
      <c r="V60" s="1"/>
    </row>
    <row r="61" spans="8:22" x14ac:dyDescent="0.25">
      <c r="H61" s="1"/>
      <c r="I61" s="1"/>
      <c r="J61" s="1"/>
      <c r="K61" s="1"/>
      <c r="L61" s="1"/>
      <c r="M61" s="1"/>
      <c r="N61" s="1"/>
      <c r="O61" s="1"/>
      <c r="P61" s="1"/>
      <c r="Q61" s="1"/>
      <c r="R61" s="1"/>
      <c r="S61" s="1"/>
      <c r="T61" s="1"/>
      <c r="U61" s="1"/>
      <c r="V61" s="1"/>
    </row>
    <row r="62" spans="8:22" x14ac:dyDescent="0.25">
      <c r="H62" s="1"/>
      <c r="I62" s="1"/>
      <c r="J62" s="1"/>
      <c r="K62" s="1"/>
      <c r="L62" s="1"/>
      <c r="M62" s="1"/>
      <c r="N62" s="1"/>
      <c r="O62" s="1"/>
      <c r="P62" s="1"/>
      <c r="Q62" s="1"/>
      <c r="R62" s="1"/>
      <c r="S62" s="1"/>
      <c r="T62" s="1"/>
      <c r="U62" s="1"/>
      <c r="V62" s="1"/>
    </row>
    <row r="63" spans="8:22" x14ac:dyDescent="0.25">
      <c r="H63" s="1"/>
      <c r="I63" s="1"/>
      <c r="J63" s="1"/>
      <c r="K63" s="1"/>
      <c r="L63" s="1"/>
      <c r="M63" s="1"/>
      <c r="N63" s="1"/>
      <c r="O63" s="1"/>
      <c r="P63" s="1"/>
      <c r="Q63" s="1"/>
      <c r="R63" s="1"/>
      <c r="S63" s="1"/>
      <c r="T63" s="1"/>
      <c r="U63" s="1"/>
      <c r="V63" s="1"/>
    </row>
    <row r="64" spans="8:22" x14ac:dyDescent="0.25">
      <c r="H64" s="1"/>
      <c r="I64" s="1"/>
      <c r="J64" s="1"/>
      <c r="K64" s="1"/>
      <c r="L64" s="1"/>
      <c r="M64" s="1"/>
      <c r="N64" s="1"/>
      <c r="O64" s="1"/>
      <c r="P64" s="1"/>
      <c r="Q64" s="1"/>
      <c r="R64" s="1"/>
      <c r="S64" s="1"/>
      <c r="T64" s="1"/>
      <c r="U64" s="1"/>
      <c r="V64" s="1"/>
    </row>
    <row r="65" spans="8:22" x14ac:dyDescent="0.25">
      <c r="H65" s="1"/>
      <c r="I65" s="1"/>
      <c r="J65" s="1"/>
      <c r="K65" s="1"/>
      <c r="L65" s="1"/>
      <c r="M65" s="1"/>
      <c r="N65" s="1"/>
      <c r="O65" s="1"/>
      <c r="P65" s="1"/>
      <c r="Q65" s="1"/>
      <c r="R65" s="1"/>
      <c r="S65" s="1"/>
      <c r="T65" s="1"/>
      <c r="U65" s="1"/>
      <c r="V65" s="1"/>
    </row>
    <row r="66" spans="8:22" x14ac:dyDescent="0.25">
      <c r="H66" s="1"/>
      <c r="I66" s="1"/>
      <c r="J66" s="1"/>
      <c r="K66" s="1"/>
      <c r="L66" s="1"/>
      <c r="M66" s="1"/>
      <c r="N66" s="1"/>
      <c r="O66" s="1"/>
      <c r="P66" s="1"/>
      <c r="Q66" s="1"/>
      <c r="R66" s="1"/>
      <c r="S66" s="1"/>
      <c r="T66" s="1"/>
      <c r="U66" s="1"/>
      <c r="V66" s="1"/>
    </row>
    <row r="67" spans="8:22" x14ac:dyDescent="0.25">
      <c r="H67" s="1"/>
      <c r="I67" s="1"/>
      <c r="J67" s="1"/>
      <c r="K67" s="1"/>
      <c r="L67" s="1"/>
      <c r="M67" s="1"/>
      <c r="N67" s="1"/>
      <c r="O67" s="1"/>
      <c r="P67" s="1"/>
      <c r="Q67" s="1"/>
      <c r="R67" s="1"/>
      <c r="S67" s="1"/>
      <c r="T67" s="1"/>
      <c r="U67" s="1"/>
      <c r="V67" s="1"/>
    </row>
    <row r="68" spans="8:22" x14ac:dyDescent="0.25">
      <c r="H68" s="1"/>
      <c r="I68" s="1"/>
      <c r="J68" s="1"/>
      <c r="K68" s="1"/>
      <c r="L68" s="1"/>
      <c r="M68" s="1"/>
      <c r="N68" s="1"/>
      <c r="O68" s="1"/>
      <c r="P68" s="1"/>
      <c r="Q68" s="1"/>
      <c r="R68" s="1"/>
      <c r="S68" s="1"/>
      <c r="T68" s="1"/>
      <c r="U68" s="1"/>
      <c r="V68" s="1"/>
    </row>
    <row r="69" spans="8:22" x14ac:dyDescent="0.25">
      <c r="H69" s="1"/>
      <c r="I69" s="1"/>
      <c r="J69" s="1"/>
      <c r="K69" s="1"/>
      <c r="L69" s="1"/>
      <c r="M69" s="1"/>
      <c r="N69" s="1"/>
      <c r="O69" s="1"/>
      <c r="P69" s="1"/>
      <c r="Q69" s="1"/>
      <c r="R69" s="1"/>
      <c r="S69" s="1"/>
      <c r="T69" s="1"/>
      <c r="U69" s="1"/>
      <c r="V69" s="1"/>
    </row>
  </sheetData>
  <sheetProtection password="C7D7" sheet="1" objects="1" scenarios="1" formatColumns="0" formatRows="0"/>
  <mergeCells count="23">
    <mergeCell ref="F19:G19"/>
    <mergeCell ref="B19:D19"/>
    <mergeCell ref="B16:D16"/>
    <mergeCell ref="B14:G14"/>
    <mergeCell ref="A15:G15"/>
    <mergeCell ref="B17:D17"/>
    <mergeCell ref="B18:D18"/>
    <mergeCell ref="F2:G2"/>
    <mergeCell ref="F8:G8"/>
    <mergeCell ref="F6:G6"/>
    <mergeCell ref="F13:G13"/>
    <mergeCell ref="B7:E7"/>
    <mergeCell ref="B2:E2"/>
    <mergeCell ref="B11:E11"/>
    <mergeCell ref="B10:E10"/>
    <mergeCell ref="B5:E5"/>
    <mergeCell ref="B3:E3"/>
    <mergeCell ref="B4:E4"/>
    <mergeCell ref="B13:E13"/>
    <mergeCell ref="B12:E12"/>
    <mergeCell ref="B9:G9"/>
    <mergeCell ref="B8:E8"/>
    <mergeCell ref="B6:E6"/>
  </mergeCells>
  <dataValidations count="1">
    <dataValidation type="list" showInputMessage="1" showErrorMessage="1" promptTitle="Yes or No?" sqref="E19">
      <formula1>YesNo</formula1>
    </dataValidation>
  </dataValidations>
  <pageMargins left="0.7" right="0.7" top="1" bottom="0.75" header="0.3" footer="0.3"/>
  <pageSetup orientation="portrait" r:id="rId1"/>
  <headerFooter>
    <oddHeader>&amp;C&amp;18NOI QUESTIONS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5"/>
  <sheetViews>
    <sheetView view="pageLayout" zoomScaleNormal="100" workbookViewId="0"/>
  </sheetViews>
  <sheetFormatPr defaultRowHeight="15.75" x14ac:dyDescent="0.25"/>
  <cols>
    <col min="1" max="1" width="15.42578125" style="13" customWidth="1"/>
    <col min="2" max="2" width="56.140625" style="3" customWidth="1"/>
    <col min="3" max="3" width="12.140625" style="3" customWidth="1"/>
    <col min="4" max="16384" width="9.140625" style="3"/>
  </cols>
  <sheetData>
    <row r="1" spans="1:3" s="257" customFormat="1" ht="30.2" customHeight="1" x14ac:dyDescent="0.25">
      <c r="A1" s="258" t="s">
        <v>35</v>
      </c>
      <c r="B1" s="258" t="s">
        <v>29</v>
      </c>
      <c r="C1" s="258" t="s">
        <v>36</v>
      </c>
    </row>
    <row r="2" spans="1:3" ht="45.2" customHeight="1" x14ac:dyDescent="0.25">
      <c r="A2" s="259" t="s">
        <v>37</v>
      </c>
      <c r="B2" s="50" t="s">
        <v>38</v>
      </c>
      <c r="C2" s="92"/>
    </row>
    <row r="3" spans="1:3" ht="30.2" customHeight="1" x14ac:dyDescent="0.25">
      <c r="A3" s="260" t="s">
        <v>39</v>
      </c>
      <c r="B3" s="51" t="s">
        <v>40</v>
      </c>
      <c r="C3" s="91"/>
    </row>
    <row r="4" spans="1:3" ht="45.2" customHeight="1" x14ac:dyDescent="0.25">
      <c r="A4" s="260" t="s">
        <v>41</v>
      </c>
      <c r="B4" s="50" t="s">
        <v>42</v>
      </c>
      <c r="C4" s="92"/>
    </row>
    <row r="5" spans="1:3" ht="79.349999999999994" customHeight="1" x14ac:dyDescent="0.25">
      <c r="A5" s="260" t="s">
        <v>43</v>
      </c>
      <c r="B5" s="52" t="s">
        <v>44</v>
      </c>
      <c r="C5" s="92"/>
    </row>
    <row r="6" spans="1:3" ht="45.2" customHeight="1" x14ac:dyDescent="0.25">
      <c r="A6" s="259" t="s">
        <v>45</v>
      </c>
      <c r="B6" s="50" t="s">
        <v>46</v>
      </c>
      <c r="C6" s="94"/>
    </row>
    <row r="7" spans="1:3" ht="60.6" customHeight="1" x14ac:dyDescent="0.25">
      <c r="A7" s="719" t="s">
        <v>47</v>
      </c>
      <c r="B7" s="105" t="s">
        <v>48</v>
      </c>
      <c r="C7" s="721"/>
    </row>
    <row r="8" spans="1:3" ht="45.2" customHeight="1" x14ac:dyDescent="0.25">
      <c r="A8" s="720"/>
      <c r="B8" s="114" t="str">
        <f>IF(C7="Considered &amp; Not Applied","Treat compacted areas as impervious cover in WQv Calculation Worksheet and modify curve number as specified in Section 5.1.6, page 5-21","")</f>
        <v/>
      </c>
      <c r="C8" s="722"/>
    </row>
    <row r="9" spans="1:3" ht="30.2" customHeight="1" x14ac:dyDescent="0.25">
      <c r="A9" s="260" t="s">
        <v>49</v>
      </c>
      <c r="B9" s="51" t="s">
        <v>50</v>
      </c>
      <c r="C9" s="94"/>
    </row>
    <row r="10" spans="1:3" ht="30.2" customHeight="1" x14ac:dyDescent="0.25">
      <c r="A10" s="260" t="s">
        <v>51</v>
      </c>
      <c r="B10" s="51" t="s">
        <v>52</v>
      </c>
      <c r="C10" s="91"/>
    </row>
    <row r="11" spans="1:3" ht="30.2" customHeight="1" x14ac:dyDescent="0.25">
      <c r="A11" s="260" t="s">
        <v>53</v>
      </c>
      <c r="B11" s="51" t="s">
        <v>54</v>
      </c>
      <c r="C11" s="94"/>
    </row>
    <row r="12" spans="1:3" ht="30.2" customHeight="1" x14ac:dyDescent="0.25">
      <c r="A12" s="260" t="s">
        <v>55</v>
      </c>
      <c r="B12" s="53" t="s">
        <v>56</v>
      </c>
      <c r="C12" s="94"/>
    </row>
    <row r="13" spans="1:3" ht="45.2" customHeight="1" x14ac:dyDescent="0.25">
      <c r="A13" s="260" t="s">
        <v>57</v>
      </c>
      <c r="B13" s="51" t="s">
        <v>58</v>
      </c>
      <c r="C13" s="94"/>
    </row>
    <row r="14" spans="1:3" ht="75" x14ac:dyDescent="0.25">
      <c r="A14" s="259" t="s">
        <v>59</v>
      </c>
      <c r="B14" s="53" t="s">
        <v>60</v>
      </c>
      <c r="C14" s="92"/>
    </row>
    <row r="15" spans="1:3" x14ac:dyDescent="0.25">
      <c r="A15" s="196"/>
      <c r="B15" s="197"/>
      <c r="C15" s="197"/>
    </row>
  </sheetData>
  <sheetProtection password="C7D7" sheet="1" objects="1" scenarios="1" formatColumns="0" formatRows="0"/>
  <mergeCells count="2">
    <mergeCell ref="A7:A8"/>
    <mergeCell ref="C7:C8"/>
  </mergeCells>
  <dataValidations count="1">
    <dataValidation type="list" allowBlank="1" showInputMessage="1" showErrorMessage="1" sqref="C2 C3 C4 C5 C6 C14 C9 C10 C11 C12 C13 C7">
      <formula1>Considered</formula1>
    </dataValidation>
  </dataValidations>
  <pageMargins left="0.7" right="8.3333333333333329E-2" top="0.75" bottom="0.75" header="0.3" footer="0.3"/>
  <pageSetup orientation="portrait" r:id="rId1"/>
  <headerFooter>
    <oddHeader>&amp;C&amp;22Planning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157"/>
  <sheetViews>
    <sheetView view="pageLayout" zoomScaleNormal="100" workbookViewId="0">
      <selection activeCell="A12" sqref="A12"/>
    </sheetView>
  </sheetViews>
  <sheetFormatPr defaultColWidth="9.140625" defaultRowHeight="15" x14ac:dyDescent="0.25"/>
  <cols>
    <col min="1" max="2" width="12.7109375" style="5" customWidth="1"/>
    <col min="3" max="3" width="11.42578125" style="5" customWidth="1"/>
    <col min="4" max="4" width="10.5703125" style="5" customWidth="1"/>
    <col min="5" max="5" width="6.42578125" style="5" customWidth="1"/>
    <col min="6" max="6" width="8.5703125" style="5" customWidth="1"/>
    <col min="7" max="7" width="12.140625" style="5" customWidth="1"/>
    <col min="8" max="8" width="15.28515625" style="5" customWidth="1"/>
    <col min="9" max="9" width="21.140625" style="5" bestFit="1" customWidth="1"/>
    <col min="10" max="10" width="14" style="5" customWidth="1"/>
    <col min="11" max="14" width="9.140625" style="5" hidden="1" customWidth="1"/>
    <col min="15" max="15" width="12.140625" style="5" bestFit="1" customWidth="1"/>
    <col min="16" max="16384" width="9.140625" style="5"/>
  </cols>
  <sheetData>
    <row r="1" spans="1:17" s="100" customFormat="1" ht="15" customHeight="1" x14ac:dyDescent="0.25">
      <c r="A1" s="735" t="s">
        <v>508</v>
      </c>
      <c r="B1" s="736"/>
      <c r="C1" s="736"/>
      <c r="D1" s="736"/>
      <c r="E1" s="736"/>
      <c r="F1" s="736"/>
      <c r="G1" s="736"/>
      <c r="H1" s="736"/>
    </row>
    <row r="2" spans="1:17" ht="15" customHeight="1" x14ac:dyDescent="0.25">
      <c r="A2" s="736" t="s">
        <v>80</v>
      </c>
      <c r="B2" s="736"/>
      <c r="C2" s="763"/>
      <c r="D2" s="763"/>
      <c r="E2" s="763"/>
      <c r="F2" s="763"/>
      <c r="G2" s="763"/>
      <c r="H2" s="763"/>
    </row>
    <row r="3" spans="1:17" ht="15" customHeight="1" x14ac:dyDescent="0.25">
      <c r="A3" s="151" t="s">
        <v>20</v>
      </c>
      <c r="B3" s="737" t="s">
        <v>204</v>
      </c>
      <c r="C3" s="737"/>
      <c r="D3" s="737"/>
      <c r="E3" s="738" t="s">
        <v>200</v>
      </c>
      <c r="F3" s="739" t="s">
        <v>580</v>
      </c>
      <c r="G3" s="739"/>
      <c r="H3" s="739"/>
      <c r="K3" s="295">
        <f>IF(ISERROR((C12-C13)),0,(C12-C13))</f>
        <v>0</v>
      </c>
      <c r="L3" s="295">
        <f>IF(ISERROR(#REF!-#REF!),0,(#REF!-#REF!))</f>
        <v>0</v>
      </c>
      <c r="M3" s="295">
        <f>IF(ISERROR((#REF!-#REF!)),0,(#REF!-#REF!))</f>
        <v>0</v>
      </c>
      <c r="N3" s="295">
        <f>IF(ISERROR((#REF!-#REF!)),0,(#REF!-#REF!))</f>
        <v>0</v>
      </c>
    </row>
    <row r="4" spans="1:17" ht="15" customHeight="1" x14ac:dyDescent="0.25">
      <c r="A4" s="151" t="s">
        <v>1</v>
      </c>
      <c r="B4" s="737" t="s">
        <v>196</v>
      </c>
      <c r="C4" s="737"/>
      <c r="D4" s="737"/>
      <c r="E4" s="738"/>
      <c r="F4" s="739"/>
      <c r="G4" s="739"/>
      <c r="H4" s="739"/>
    </row>
    <row r="5" spans="1:17" ht="15" customHeight="1" x14ac:dyDescent="0.25">
      <c r="A5" s="151" t="s">
        <v>14</v>
      </c>
      <c r="B5" s="737" t="s">
        <v>197</v>
      </c>
      <c r="C5" s="737"/>
      <c r="D5" s="737"/>
      <c r="E5" s="738"/>
      <c r="F5" s="739"/>
      <c r="G5" s="739"/>
      <c r="H5" s="739"/>
      <c r="P5" s="14"/>
    </row>
    <row r="6" spans="1:17" s="14" customFormat="1" ht="15" customHeight="1" x14ac:dyDescent="0.25">
      <c r="A6" s="151" t="s">
        <v>16</v>
      </c>
      <c r="B6" s="741" t="s">
        <v>201</v>
      </c>
      <c r="C6" s="741"/>
      <c r="D6" s="741"/>
      <c r="E6" s="738"/>
      <c r="F6" s="739"/>
      <c r="G6" s="739"/>
      <c r="H6" s="739"/>
    </row>
    <row r="7" spans="1:17" ht="15" customHeight="1" x14ac:dyDescent="0.25">
      <c r="A7" s="151" t="s">
        <v>203</v>
      </c>
      <c r="B7" s="737" t="s">
        <v>202</v>
      </c>
      <c r="C7" s="737"/>
      <c r="D7" s="737"/>
      <c r="E7" s="738"/>
      <c r="F7" s="740"/>
      <c r="G7" s="740"/>
      <c r="H7" s="740"/>
    </row>
    <row r="8" spans="1:17" s="413" customFormat="1" ht="15" customHeight="1" x14ac:dyDescent="0.25">
      <c r="A8" s="151"/>
      <c r="B8" s="411"/>
      <c r="C8" s="411"/>
      <c r="D8" s="411"/>
      <c r="E8" s="412"/>
      <c r="F8" s="427"/>
      <c r="G8" s="427"/>
      <c r="H8" s="427"/>
    </row>
    <row r="9" spans="1:17" s="2" customFormat="1" ht="15" customHeight="1" x14ac:dyDescent="0.25">
      <c r="A9" s="428" t="s">
        <v>600</v>
      </c>
      <c r="B9" s="426" t="str">
        <f>IF('Total WQv Calculation'!$B$3="","",'Total WQv Calculation'!$B$3)</f>
        <v/>
      </c>
      <c r="C9" s="423"/>
      <c r="D9" s="423"/>
      <c r="E9" s="424"/>
      <c r="F9" s="425"/>
      <c r="G9" s="425"/>
      <c r="H9" s="425"/>
    </row>
    <row r="10" spans="1:17" ht="15" customHeight="1" x14ac:dyDescent="0.25">
      <c r="A10" s="667" t="s">
        <v>79</v>
      </c>
      <c r="B10" s="668"/>
      <c r="C10" s="668"/>
      <c r="D10" s="668"/>
      <c r="E10" s="668"/>
      <c r="F10" s="668"/>
      <c r="G10" s="668"/>
      <c r="H10" s="669"/>
    </row>
    <row r="11" spans="1:17" s="2" customFormat="1" ht="46.7" customHeight="1" x14ac:dyDescent="0.25">
      <c r="A11" s="504" t="s">
        <v>493</v>
      </c>
      <c r="B11" s="505" t="s">
        <v>610</v>
      </c>
      <c r="C11" s="578" t="s">
        <v>611</v>
      </c>
      <c r="D11" s="505" t="s">
        <v>612</v>
      </c>
      <c r="E11" s="505" t="s">
        <v>7</v>
      </c>
      <c r="F11" s="505" t="s">
        <v>613</v>
      </c>
      <c r="G11" s="505" t="s">
        <v>614</v>
      </c>
      <c r="H11" s="506" t="s">
        <v>29</v>
      </c>
      <c r="I11" s="5"/>
      <c r="J11" s="5"/>
      <c r="K11" s="5"/>
      <c r="L11" s="5"/>
      <c r="M11" s="5"/>
      <c r="N11" s="5"/>
      <c r="O11" s="5"/>
      <c r="P11" s="5"/>
      <c r="Q11" s="5"/>
    </row>
    <row r="12" spans="1:17" ht="30.2" customHeight="1" x14ac:dyDescent="0.25">
      <c r="A12" s="213"/>
      <c r="B12" s="576" t="str">
        <f>IF($A12="","",(LOOKUP($A12,'Catchment Summary Table'!$A$4:$A$33,'Catchment Summary Table'!$B$4:$B$33)))</f>
        <v/>
      </c>
      <c r="C12" s="576" t="str">
        <f>IF($A12="","",(LOOKUP($A12,'Catchment Summary Table'!$A$4:$A$33,'Catchment Summary Table'!$C$4:$C$33)))</f>
        <v/>
      </c>
      <c r="D12" s="576" t="str">
        <f>IF($A12="","",(LOOKUP($A12,'Catchment Summary Table'!$A$4:$A$33,'Catchment Summary Table'!$D$4:$D$33)))</f>
        <v/>
      </c>
      <c r="E12" s="576" t="str">
        <f>IF($A12="","",(LOOKUP($A12,'Catchment Summary Table'!$A$4:$A$33,'Catchment Summary Table'!$E$4:$E$33)))</f>
        <v/>
      </c>
      <c r="F12" s="576" t="str">
        <f>IF($A12="","",(LOOKUP($A12,'Catchment Summary Table'!$A$4:$A$33,'Catchment Summary Table'!$F$4:$F$33)))</f>
        <v/>
      </c>
      <c r="G12" s="576" t="str">
        <f>IF(B12="","",IFERROR('Total WQv Calculation'!$B$4,""))</f>
        <v/>
      </c>
      <c r="H12" s="546" t="str">
        <f>IF($A12="","",(LOOKUP($A12,'Catchment Summary Table'!$A$4:$A$33,'Catchment Summary Table'!$G$4:$G$33)))</f>
        <v/>
      </c>
    </row>
    <row r="13" spans="1:17" s="155" customFormat="1" ht="30.2" customHeight="1" x14ac:dyDescent="0.25">
      <c r="A13" s="742" t="s">
        <v>549</v>
      </c>
      <c r="B13" s="743"/>
      <c r="C13" s="285"/>
      <c r="D13" s="272" t="str">
        <f>IF(ISERROR((C12-C13)/B12),"",(C12-C13)/B12)</f>
        <v/>
      </c>
      <c r="E13" s="262" t="str">
        <f>IF(ISERROR(D13*100*0.009+0.05),"",(D13*100*0.009+0.05))</f>
        <v/>
      </c>
      <c r="F13" s="264" t="str">
        <f>IF(ISERROR(E13*B12*G12/12*43560 ),"",(E13*B12*G12/12*43560 ))</f>
        <v/>
      </c>
      <c r="G13" s="744" t="s">
        <v>550</v>
      </c>
      <c r="H13" s="745"/>
    </row>
    <row r="14" spans="1:17" s="150" customFormat="1" ht="30.2" customHeight="1" x14ac:dyDescent="0.25">
      <c r="A14" s="778" t="s">
        <v>546</v>
      </c>
      <c r="B14" s="779"/>
      <c r="C14" s="779"/>
      <c r="D14" s="779"/>
      <c r="E14" s="780"/>
      <c r="F14" s="265"/>
      <c r="G14" s="154" t="s">
        <v>207</v>
      </c>
      <c r="H14" s="172"/>
    </row>
    <row r="15" spans="1:17" s="101" customFormat="1" ht="15" customHeight="1" x14ac:dyDescent="0.25">
      <c r="A15" s="730" t="s">
        <v>509</v>
      </c>
      <c r="B15" s="731"/>
      <c r="C15" s="731"/>
      <c r="D15" s="731"/>
      <c r="E15" s="731"/>
      <c r="F15" s="731"/>
      <c r="G15" s="731"/>
      <c r="H15" s="732"/>
    </row>
    <row r="16" spans="1:17" s="101" customFormat="1" ht="15" customHeight="1" x14ac:dyDescent="0.25">
      <c r="A16" s="746" t="s">
        <v>216</v>
      </c>
      <c r="B16" s="747"/>
      <c r="C16" s="355"/>
      <c r="D16" s="748"/>
      <c r="E16" s="749"/>
      <c r="F16" s="749"/>
      <c r="G16" s="749"/>
      <c r="H16" s="749"/>
    </row>
    <row r="17" spans="1:17" s="126" customFormat="1" ht="15" customHeight="1" x14ac:dyDescent="0.25">
      <c r="A17" s="746" t="s">
        <v>507</v>
      </c>
      <c r="B17" s="747"/>
      <c r="C17" s="356"/>
      <c r="D17" s="324" t="s">
        <v>317</v>
      </c>
      <c r="E17" s="749" t="str">
        <f>IF(C17="","",IF(C17&gt;=0.5,"Design as an infiltration bioretention practice","Okay"))</f>
        <v/>
      </c>
      <c r="F17" s="749"/>
      <c r="G17" s="749"/>
      <c r="H17" s="749"/>
    </row>
    <row r="18" spans="1:17" s="101" customFormat="1" ht="15" customHeight="1" x14ac:dyDescent="0.25">
      <c r="A18" s="746" t="s">
        <v>510</v>
      </c>
      <c r="B18" s="747"/>
      <c r="C18" s="355"/>
      <c r="D18" s="748" t="str">
        <f>IF(C18="","",IF(C18="Yes","Okay", "Design as an infiltration bioretention practice"))</f>
        <v/>
      </c>
      <c r="E18" s="750"/>
      <c r="F18" s="750"/>
      <c r="G18" s="750"/>
      <c r="H18" s="750"/>
    </row>
    <row r="19" spans="1:17" ht="15" customHeight="1" x14ac:dyDescent="0.25">
      <c r="A19" s="730" t="s">
        <v>81</v>
      </c>
      <c r="B19" s="731"/>
      <c r="C19" s="731"/>
      <c r="D19" s="731"/>
      <c r="E19" s="731"/>
      <c r="F19" s="731"/>
      <c r="G19" s="731"/>
      <c r="H19" s="732"/>
    </row>
    <row r="20" spans="1:17" s="2" customFormat="1" ht="15" customHeight="1" x14ac:dyDescent="0.25">
      <c r="A20" s="266"/>
      <c r="B20" s="267"/>
      <c r="C20" s="267"/>
      <c r="D20" s="268"/>
      <c r="E20" s="751" t="s">
        <v>24</v>
      </c>
      <c r="F20" s="751"/>
      <c r="G20" s="269" t="s">
        <v>21</v>
      </c>
      <c r="H20" s="269" t="s">
        <v>30</v>
      </c>
      <c r="I20" s="5"/>
      <c r="J20" s="5"/>
      <c r="K20" s="5"/>
      <c r="L20" s="5"/>
      <c r="M20" s="5"/>
      <c r="N20" s="5"/>
      <c r="O20" s="5"/>
      <c r="P20" s="5"/>
      <c r="Q20" s="5"/>
    </row>
    <row r="21" spans="1:17" ht="15" customHeight="1" x14ac:dyDescent="0.25">
      <c r="A21" s="752" t="s">
        <v>1</v>
      </c>
      <c r="B21" s="752"/>
      <c r="C21" s="752"/>
      <c r="D21" s="225" t="s">
        <v>189</v>
      </c>
      <c r="E21" s="753">
        <f>SUM(F13,F14)</f>
        <v>0</v>
      </c>
      <c r="F21" s="753"/>
      <c r="G21" s="227" t="s">
        <v>207</v>
      </c>
      <c r="H21" s="227"/>
    </row>
    <row r="22" spans="1:17" ht="15" customHeight="1" x14ac:dyDescent="0.25">
      <c r="A22" s="752" t="s">
        <v>82</v>
      </c>
      <c r="B22" s="752"/>
      <c r="C22" s="752"/>
      <c r="D22" s="234" t="s">
        <v>14</v>
      </c>
      <c r="E22" s="754"/>
      <c r="F22" s="754"/>
      <c r="G22" s="227" t="s">
        <v>12</v>
      </c>
      <c r="H22" s="227" t="s">
        <v>86</v>
      </c>
    </row>
    <row r="23" spans="1:17" ht="15" customHeight="1" x14ac:dyDescent="0.25">
      <c r="A23" s="752" t="s">
        <v>83</v>
      </c>
      <c r="B23" s="752"/>
      <c r="C23" s="752"/>
      <c r="D23" s="234" t="s">
        <v>15</v>
      </c>
      <c r="E23" s="754"/>
      <c r="F23" s="754"/>
      <c r="G23" s="227" t="s">
        <v>19</v>
      </c>
      <c r="H23" s="227"/>
    </row>
    <row r="24" spans="1:17" ht="15" customHeight="1" x14ac:dyDescent="0.25">
      <c r="A24" s="752" t="s">
        <v>84</v>
      </c>
      <c r="B24" s="752"/>
      <c r="C24" s="752"/>
      <c r="D24" s="234" t="s">
        <v>16</v>
      </c>
      <c r="E24" s="754"/>
      <c r="F24" s="754"/>
      <c r="G24" s="227" t="s">
        <v>12</v>
      </c>
      <c r="H24" s="227" t="s">
        <v>547</v>
      </c>
    </row>
    <row r="25" spans="1:17" ht="15" customHeight="1" x14ac:dyDescent="0.25">
      <c r="A25" s="752" t="s">
        <v>85</v>
      </c>
      <c r="B25" s="752"/>
      <c r="C25" s="752"/>
      <c r="D25" s="234" t="s">
        <v>17</v>
      </c>
      <c r="E25" s="754"/>
      <c r="F25" s="754"/>
      <c r="G25" s="227" t="s">
        <v>18</v>
      </c>
      <c r="H25" s="227"/>
    </row>
    <row r="26" spans="1:17" ht="15" customHeight="1" x14ac:dyDescent="0.25">
      <c r="A26" s="764" t="s">
        <v>209</v>
      </c>
      <c r="B26" s="765"/>
      <c r="C26" s="766"/>
      <c r="D26" s="173" t="s">
        <v>20</v>
      </c>
      <c r="E26" s="767">
        <f>IF(E21=0,0,E21*E22/(E23*(E24+E22)*E25))</f>
        <v>0</v>
      </c>
      <c r="F26" s="767"/>
      <c r="G26" s="174" t="s">
        <v>208</v>
      </c>
      <c r="H26" s="227"/>
    </row>
    <row r="27" spans="1:17" s="2" customFormat="1" ht="15" customHeight="1" x14ac:dyDescent="0.25">
      <c r="A27" s="730" t="s">
        <v>87</v>
      </c>
      <c r="B27" s="731"/>
      <c r="C27" s="731"/>
      <c r="D27" s="731"/>
      <c r="E27" s="731"/>
      <c r="F27" s="731"/>
      <c r="G27" s="731"/>
      <c r="H27" s="732"/>
      <c r="I27" s="5"/>
      <c r="J27" s="5"/>
      <c r="K27" s="5"/>
      <c r="L27" s="5"/>
      <c r="M27" s="5"/>
      <c r="N27" s="5"/>
      <c r="O27" s="5"/>
      <c r="P27" s="5"/>
      <c r="Q27" s="5"/>
    </row>
    <row r="28" spans="1:17" ht="15" customHeight="1" x14ac:dyDescent="0.25">
      <c r="A28" s="723" t="s">
        <v>2</v>
      </c>
      <c r="B28" s="723"/>
      <c r="C28" s="353"/>
      <c r="D28" s="232" t="s">
        <v>12</v>
      </c>
      <c r="E28" s="727"/>
      <c r="F28" s="728"/>
      <c r="G28" s="321"/>
      <c r="H28" s="351"/>
    </row>
    <row r="29" spans="1:17" ht="15" customHeight="1" x14ac:dyDescent="0.25">
      <c r="A29" s="723" t="s">
        <v>3</v>
      </c>
      <c r="B29" s="723"/>
      <c r="C29" s="353"/>
      <c r="D29" s="232" t="s">
        <v>12</v>
      </c>
      <c r="E29" s="774"/>
      <c r="F29" s="775"/>
      <c r="G29" s="321"/>
      <c r="H29" s="319"/>
    </row>
    <row r="30" spans="1:17" ht="15" customHeight="1" x14ac:dyDescent="0.25">
      <c r="A30" s="723" t="s">
        <v>138</v>
      </c>
      <c r="B30" s="723"/>
      <c r="C30" s="357">
        <f>C28*C29</f>
        <v>0</v>
      </c>
      <c r="D30" s="232" t="s">
        <v>210</v>
      </c>
      <c r="E30" s="724"/>
      <c r="F30" s="725"/>
      <c r="G30" s="725"/>
      <c r="H30" s="726"/>
    </row>
    <row r="31" spans="1:17" ht="15" customHeight="1" x14ac:dyDescent="0.25">
      <c r="A31" s="723" t="s">
        <v>26</v>
      </c>
      <c r="B31" s="723"/>
      <c r="C31" s="231">
        <f>IF(E22=0,0,C30*E23*(E24+E22)*E25/E22)</f>
        <v>0</v>
      </c>
      <c r="D31" s="232" t="s">
        <v>207</v>
      </c>
      <c r="E31" s="727"/>
      <c r="F31" s="728"/>
      <c r="G31" s="728"/>
      <c r="H31" s="729"/>
    </row>
    <row r="32" spans="1:17" ht="15" customHeight="1" x14ac:dyDescent="0.25">
      <c r="A32" s="730" t="s">
        <v>88</v>
      </c>
      <c r="B32" s="731"/>
      <c r="C32" s="731"/>
      <c r="D32" s="731"/>
      <c r="E32" s="731"/>
      <c r="F32" s="731"/>
      <c r="G32" s="731"/>
      <c r="H32" s="732"/>
    </row>
    <row r="33" spans="1:17" s="320" customFormat="1" ht="30.2" customHeight="1" x14ac:dyDescent="0.25">
      <c r="A33" s="755" t="s">
        <v>576</v>
      </c>
      <c r="B33" s="756"/>
      <c r="C33" s="757"/>
      <c r="D33" s="348"/>
      <c r="E33" s="776" t="s">
        <v>560</v>
      </c>
      <c r="F33" s="777"/>
      <c r="G33" s="733"/>
      <c r="H33" s="734"/>
    </row>
    <row r="34" spans="1:17" s="49" customFormat="1" ht="15" customHeight="1" x14ac:dyDescent="0.25">
      <c r="A34" s="758" t="s">
        <v>23</v>
      </c>
      <c r="B34" s="758"/>
      <c r="C34" s="349">
        <f>IF(C18="Yes",C31*0.4,C31*0.8)</f>
        <v>0</v>
      </c>
      <c r="D34" s="271"/>
      <c r="E34" s="768"/>
      <c r="F34" s="768"/>
      <c r="G34" s="768"/>
      <c r="H34" s="769"/>
    </row>
    <row r="35" spans="1:17" s="2" customFormat="1" ht="30.2" customHeight="1" x14ac:dyDescent="0.25">
      <c r="A35" s="770" t="s">
        <v>350</v>
      </c>
      <c r="B35" s="770"/>
      <c r="C35" s="247">
        <f>IF(C34&gt;=(SUM(F13,F14)),(SUM(F13,F14)),C34)</f>
        <v>0</v>
      </c>
      <c r="D35" s="322" t="s">
        <v>249</v>
      </c>
      <c r="E35" s="771" t="s">
        <v>433</v>
      </c>
      <c r="F35" s="771"/>
      <c r="G35" s="771"/>
      <c r="H35" s="771"/>
      <c r="I35" s="323"/>
      <c r="J35" s="323"/>
      <c r="K35" s="323"/>
      <c r="L35" s="323"/>
      <c r="M35" s="323"/>
      <c r="N35" s="323"/>
      <c r="O35" s="323"/>
      <c r="P35" s="323"/>
      <c r="Q35" s="323"/>
    </row>
    <row r="36" spans="1:17" s="323" customFormat="1" ht="30.2" customHeight="1" x14ac:dyDescent="0.25">
      <c r="A36" s="758" t="s">
        <v>243</v>
      </c>
      <c r="B36" s="758"/>
      <c r="C36" s="350" t="str">
        <f>IF(ISERROR(IF(D33="Yes",0,(F13+F14)-C35)),"",IF(D33="Yes",0,(F13+F14)-C35))</f>
        <v/>
      </c>
      <c r="D36" s="318" t="s">
        <v>579</v>
      </c>
      <c r="E36" s="759" t="s">
        <v>434</v>
      </c>
      <c r="F36" s="760"/>
      <c r="G36" s="760"/>
      <c r="H36" s="760"/>
    </row>
    <row r="37" spans="1:17" s="323" customFormat="1" ht="15" customHeight="1" x14ac:dyDescent="0.25">
      <c r="A37" s="761" t="s">
        <v>568</v>
      </c>
      <c r="B37" s="761"/>
      <c r="C37" s="350" t="str">
        <f>IF(ISERROR((F13+F14)-C35-C36),"",((F13+F14)-C35-C36))</f>
        <v/>
      </c>
      <c r="D37" s="318" t="s">
        <v>579</v>
      </c>
      <c r="E37" s="762" t="s">
        <v>548</v>
      </c>
      <c r="F37" s="762"/>
      <c r="G37" s="762"/>
      <c r="H37" s="762"/>
      <c r="I37" s="347"/>
    </row>
    <row r="38" spans="1:17" ht="15" customHeight="1" x14ac:dyDescent="0.25">
      <c r="A38" s="772" t="s">
        <v>577</v>
      </c>
      <c r="B38" s="772"/>
      <c r="C38" s="325" t="str">
        <f>IF(C30&gt;=E26,"OK","Error")</f>
        <v>OK</v>
      </c>
      <c r="D38" s="277"/>
      <c r="E38" s="773" t="s">
        <v>578</v>
      </c>
      <c r="F38" s="773"/>
      <c r="G38" s="773"/>
      <c r="H38" s="773"/>
    </row>
    <row r="39" spans="1:17" ht="15" customHeight="1" x14ac:dyDescent="0.25">
      <c r="A39" s="735" t="s">
        <v>508</v>
      </c>
      <c r="B39" s="736"/>
      <c r="C39" s="736"/>
      <c r="D39" s="736"/>
      <c r="E39" s="736"/>
      <c r="F39" s="736"/>
      <c r="G39" s="736"/>
      <c r="H39" s="736"/>
    </row>
    <row r="40" spans="1:17" ht="15" customHeight="1" x14ac:dyDescent="0.25">
      <c r="A40" s="736" t="s">
        <v>80</v>
      </c>
      <c r="B40" s="736"/>
      <c r="C40" s="763"/>
      <c r="D40" s="763"/>
      <c r="E40" s="763"/>
      <c r="F40" s="763"/>
      <c r="G40" s="763"/>
      <c r="H40" s="763"/>
    </row>
    <row r="41" spans="1:17" ht="15" customHeight="1" x14ac:dyDescent="0.25">
      <c r="A41" s="151" t="s">
        <v>20</v>
      </c>
      <c r="B41" s="737" t="s">
        <v>204</v>
      </c>
      <c r="C41" s="737"/>
      <c r="D41" s="737"/>
      <c r="E41" s="738" t="s">
        <v>200</v>
      </c>
      <c r="F41" s="739" t="s">
        <v>580</v>
      </c>
      <c r="G41" s="739"/>
      <c r="H41" s="739"/>
    </row>
    <row r="42" spans="1:17" ht="15" customHeight="1" x14ac:dyDescent="0.25">
      <c r="A42" s="151" t="s">
        <v>1</v>
      </c>
      <c r="B42" s="737" t="s">
        <v>196</v>
      </c>
      <c r="C42" s="737"/>
      <c r="D42" s="737"/>
      <c r="E42" s="738"/>
      <c r="F42" s="739"/>
      <c r="G42" s="739"/>
      <c r="H42" s="739"/>
    </row>
    <row r="43" spans="1:17" ht="15" customHeight="1" x14ac:dyDescent="0.25">
      <c r="A43" s="151" t="s">
        <v>14</v>
      </c>
      <c r="B43" s="737" t="s">
        <v>197</v>
      </c>
      <c r="C43" s="737"/>
      <c r="D43" s="737"/>
      <c r="E43" s="738"/>
      <c r="F43" s="739"/>
      <c r="G43" s="739"/>
      <c r="H43" s="739"/>
    </row>
    <row r="44" spans="1:17" ht="15" customHeight="1" x14ac:dyDescent="0.25">
      <c r="A44" s="151" t="s">
        <v>16</v>
      </c>
      <c r="B44" s="741" t="s">
        <v>201</v>
      </c>
      <c r="C44" s="741"/>
      <c r="D44" s="741"/>
      <c r="E44" s="738"/>
      <c r="F44" s="739"/>
      <c r="G44" s="739"/>
      <c r="H44" s="739"/>
    </row>
    <row r="45" spans="1:17" ht="15" customHeight="1" x14ac:dyDescent="0.25">
      <c r="A45" s="151" t="s">
        <v>203</v>
      </c>
      <c r="B45" s="737" t="s">
        <v>202</v>
      </c>
      <c r="C45" s="737"/>
      <c r="D45" s="737"/>
      <c r="E45" s="738"/>
      <c r="F45" s="739"/>
      <c r="G45" s="739"/>
      <c r="H45" s="739"/>
    </row>
    <row r="46" spans="1:17" ht="15" customHeight="1" x14ac:dyDescent="0.25">
      <c r="A46" s="151"/>
      <c r="B46" s="463"/>
      <c r="C46" s="463"/>
      <c r="D46" s="463"/>
      <c r="E46" s="464"/>
      <c r="F46" s="739"/>
      <c r="G46" s="739"/>
      <c r="H46" s="739"/>
    </row>
    <row r="47" spans="1:17" ht="15" customHeight="1" x14ac:dyDescent="0.25">
      <c r="A47" s="428" t="s">
        <v>600</v>
      </c>
      <c r="B47" s="426" t="str">
        <f>IF('Total WQv Calculation'!$B$3="","",'Total WQv Calculation'!$B$3)</f>
        <v/>
      </c>
      <c r="C47" s="423"/>
      <c r="D47" s="423"/>
      <c r="E47" s="424"/>
      <c r="F47" s="425"/>
      <c r="G47" s="425"/>
      <c r="H47" s="425"/>
    </row>
    <row r="48" spans="1:17" ht="15" customHeight="1" x14ac:dyDescent="0.25">
      <c r="A48" s="667" t="s">
        <v>79</v>
      </c>
      <c r="B48" s="668"/>
      <c r="C48" s="668"/>
      <c r="D48" s="668"/>
      <c r="E48" s="668"/>
      <c r="F48" s="668"/>
      <c r="G48" s="668"/>
      <c r="H48" s="669"/>
    </row>
    <row r="49" spans="1:8" ht="46.7" customHeight="1" x14ac:dyDescent="0.25">
      <c r="A49" s="504" t="s">
        <v>493</v>
      </c>
      <c r="B49" s="505" t="s">
        <v>610</v>
      </c>
      <c r="C49" s="578" t="s">
        <v>611</v>
      </c>
      <c r="D49" s="505" t="s">
        <v>612</v>
      </c>
      <c r="E49" s="505" t="s">
        <v>7</v>
      </c>
      <c r="F49" s="505" t="s">
        <v>613</v>
      </c>
      <c r="G49" s="505" t="s">
        <v>614</v>
      </c>
      <c r="H49" s="506" t="s">
        <v>29</v>
      </c>
    </row>
    <row r="50" spans="1:8" ht="30.2" customHeight="1" x14ac:dyDescent="0.25">
      <c r="A50" s="213"/>
      <c r="B50" s="576" t="str">
        <f>IF($A50="","",(LOOKUP($A50,'Catchment Summary Table'!$A$4:$A$33,'Catchment Summary Table'!$B$4:$B$33)))</f>
        <v/>
      </c>
      <c r="C50" s="576" t="str">
        <f>IF($A50="","",(LOOKUP($A50,'Catchment Summary Table'!$A$4:$A$33,'Catchment Summary Table'!$C$4:$C$33)))</f>
        <v/>
      </c>
      <c r="D50" s="576" t="str">
        <f>IF($A50="","",(LOOKUP($A50,'Catchment Summary Table'!$A$4:$A$33,'Catchment Summary Table'!$D$4:$D$33)))</f>
        <v/>
      </c>
      <c r="E50" s="576" t="str">
        <f>IF($A50="","",(LOOKUP($A50,'Catchment Summary Table'!$A$4:$A$33,'Catchment Summary Table'!$E$4:$E$33)))</f>
        <v/>
      </c>
      <c r="F50" s="576" t="str">
        <f>IF($A50="","",(LOOKUP($A50,'Catchment Summary Table'!$A$4:$A$33,'Catchment Summary Table'!$F$4:$F$33)))</f>
        <v/>
      </c>
      <c r="G50" s="576" t="str">
        <f>IF(B50="","",IFERROR('Total WQv Calculation'!$B$4,""))</f>
        <v/>
      </c>
      <c r="H50" s="546" t="str">
        <f>IF($A50="","",(LOOKUP($A50,'Catchment Summary Table'!$A$4:$A$33,'Catchment Summary Table'!$G$4:$G$33)))</f>
        <v/>
      </c>
    </row>
    <row r="51" spans="1:8" ht="30.2" customHeight="1" x14ac:dyDescent="0.25">
      <c r="A51" s="742" t="s">
        <v>549</v>
      </c>
      <c r="B51" s="743"/>
      <c r="C51" s="285"/>
      <c r="D51" s="272" t="str">
        <f>IF(ISERROR((C50-C51)/B50),"",(C50-C51)/B50)</f>
        <v/>
      </c>
      <c r="E51" s="262" t="str">
        <f>IF(ISERROR(D51*100*0.009+0.05),"",(D51*100*0.009+0.05))</f>
        <v/>
      </c>
      <c r="F51" s="264" t="str">
        <f>IF(ISERROR(E51*B50*G50/12*43560 ),"",(E51*B50*G50/12*43560 ))</f>
        <v/>
      </c>
      <c r="G51" s="744" t="s">
        <v>550</v>
      </c>
      <c r="H51" s="745"/>
    </row>
    <row r="52" spans="1:8" ht="30.2" customHeight="1" x14ac:dyDescent="0.25">
      <c r="A52" s="778" t="s">
        <v>546</v>
      </c>
      <c r="B52" s="779"/>
      <c r="C52" s="779"/>
      <c r="D52" s="779"/>
      <c r="E52" s="780"/>
      <c r="F52" s="265"/>
      <c r="G52" s="461" t="s">
        <v>207</v>
      </c>
      <c r="H52" s="172"/>
    </row>
    <row r="53" spans="1:8" ht="15" customHeight="1" x14ac:dyDescent="0.25">
      <c r="A53" s="730" t="s">
        <v>509</v>
      </c>
      <c r="B53" s="731"/>
      <c r="C53" s="731"/>
      <c r="D53" s="731"/>
      <c r="E53" s="731"/>
      <c r="F53" s="731"/>
      <c r="G53" s="731"/>
      <c r="H53" s="732"/>
    </row>
    <row r="54" spans="1:8" ht="15" customHeight="1" x14ac:dyDescent="0.25">
      <c r="A54" s="746" t="s">
        <v>216</v>
      </c>
      <c r="B54" s="747"/>
      <c r="C54" s="355"/>
      <c r="D54" s="748"/>
      <c r="E54" s="749"/>
      <c r="F54" s="749"/>
      <c r="G54" s="749"/>
      <c r="H54" s="749"/>
    </row>
    <row r="55" spans="1:8" ht="15" customHeight="1" x14ac:dyDescent="0.25">
      <c r="A55" s="746" t="s">
        <v>507</v>
      </c>
      <c r="B55" s="747"/>
      <c r="C55" s="356"/>
      <c r="D55" s="458" t="s">
        <v>317</v>
      </c>
      <c r="E55" s="749" t="str">
        <f>IF(C55="","",IF(C55&gt;=0.5,"Design as an infiltration bioretention practice","Okay"))</f>
        <v/>
      </c>
      <c r="F55" s="749"/>
      <c r="G55" s="749"/>
      <c r="H55" s="749"/>
    </row>
    <row r="56" spans="1:8" ht="15" customHeight="1" x14ac:dyDescent="0.25">
      <c r="A56" s="746" t="s">
        <v>510</v>
      </c>
      <c r="B56" s="747"/>
      <c r="C56" s="355"/>
      <c r="D56" s="748" t="str">
        <f>IF(C56="","",IF(C56="Yes","Okay", "Design as an infiltration bioretention practice"))</f>
        <v/>
      </c>
      <c r="E56" s="750"/>
      <c r="F56" s="750"/>
      <c r="G56" s="750"/>
      <c r="H56" s="750"/>
    </row>
    <row r="57" spans="1:8" ht="15" customHeight="1" x14ac:dyDescent="0.25">
      <c r="A57" s="730" t="s">
        <v>81</v>
      </c>
      <c r="B57" s="731"/>
      <c r="C57" s="731"/>
      <c r="D57" s="731"/>
      <c r="E57" s="731"/>
      <c r="F57" s="731"/>
      <c r="G57" s="731"/>
      <c r="H57" s="732"/>
    </row>
    <row r="58" spans="1:8" ht="15" customHeight="1" x14ac:dyDescent="0.25">
      <c r="A58" s="266"/>
      <c r="B58" s="267"/>
      <c r="C58" s="267"/>
      <c r="D58" s="268"/>
      <c r="E58" s="751" t="s">
        <v>24</v>
      </c>
      <c r="F58" s="751"/>
      <c r="G58" s="269" t="s">
        <v>21</v>
      </c>
      <c r="H58" s="269" t="s">
        <v>30</v>
      </c>
    </row>
    <row r="59" spans="1:8" ht="15" customHeight="1" x14ac:dyDescent="0.25">
      <c r="A59" s="752" t="s">
        <v>1</v>
      </c>
      <c r="B59" s="752"/>
      <c r="C59" s="752"/>
      <c r="D59" s="462" t="s">
        <v>189</v>
      </c>
      <c r="E59" s="753">
        <f>SUM(F51,F52)</f>
        <v>0</v>
      </c>
      <c r="F59" s="753"/>
      <c r="G59" s="461" t="s">
        <v>207</v>
      </c>
      <c r="H59" s="461"/>
    </row>
    <row r="60" spans="1:8" ht="15" customHeight="1" x14ac:dyDescent="0.25">
      <c r="A60" s="752" t="s">
        <v>82</v>
      </c>
      <c r="B60" s="752"/>
      <c r="C60" s="752"/>
      <c r="D60" s="482" t="s">
        <v>14</v>
      </c>
      <c r="E60" s="754"/>
      <c r="F60" s="754"/>
      <c r="G60" s="461" t="s">
        <v>12</v>
      </c>
      <c r="H60" s="461" t="s">
        <v>86</v>
      </c>
    </row>
    <row r="61" spans="1:8" ht="15" customHeight="1" x14ac:dyDescent="0.25">
      <c r="A61" s="752" t="s">
        <v>83</v>
      </c>
      <c r="B61" s="752"/>
      <c r="C61" s="752"/>
      <c r="D61" s="482" t="s">
        <v>15</v>
      </c>
      <c r="E61" s="754"/>
      <c r="F61" s="754"/>
      <c r="G61" s="461" t="s">
        <v>19</v>
      </c>
      <c r="H61" s="461"/>
    </row>
    <row r="62" spans="1:8" ht="15" customHeight="1" x14ac:dyDescent="0.25">
      <c r="A62" s="752" t="s">
        <v>84</v>
      </c>
      <c r="B62" s="752"/>
      <c r="C62" s="752"/>
      <c r="D62" s="482" t="s">
        <v>16</v>
      </c>
      <c r="E62" s="754"/>
      <c r="F62" s="754"/>
      <c r="G62" s="461" t="s">
        <v>12</v>
      </c>
      <c r="H62" s="461" t="s">
        <v>547</v>
      </c>
    </row>
    <row r="63" spans="1:8" ht="15" customHeight="1" x14ac:dyDescent="0.25">
      <c r="A63" s="752" t="s">
        <v>85</v>
      </c>
      <c r="B63" s="752"/>
      <c r="C63" s="752"/>
      <c r="D63" s="482" t="s">
        <v>17</v>
      </c>
      <c r="E63" s="754"/>
      <c r="F63" s="754"/>
      <c r="G63" s="461" t="s">
        <v>18</v>
      </c>
      <c r="H63" s="461"/>
    </row>
    <row r="64" spans="1:8" ht="15" customHeight="1" x14ac:dyDescent="0.25">
      <c r="A64" s="764" t="s">
        <v>209</v>
      </c>
      <c r="B64" s="765"/>
      <c r="C64" s="766"/>
      <c r="D64" s="173" t="s">
        <v>20</v>
      </c>
      <c r="E64" s="767">
        <f>IF(E59=0,0,E59*E60/(E61*(E62+E60)*E63))</f>
        <v>0</v>
      </c>
      <c r="F64" s="767"/>
      <c r="G64" s="174" t="s">
        <v>208</v>
      </c>
      <c r="H64" s="461"/>
    </row>
    <row r="65" spans="1:8" ht="15" customHeight="1" x14ac:dyDescent="0.25">
      <c r="A65" s="730" t="s">
        <v>87</v>
      </c>
      <c r="B65" s="731"/>
      <c r="C65" s="731"/>
      <c r="D65" s="731"/>
      <c r="E65" s="731"/>
      <c r="F65" s="731"/>
      <c r="G65" s="731"/>
      <c r="H65" s="732"/>
    </row>
    <row r="66" spans="1:8" ht="15" customHeight="1" x14ac:dyDescent="0.25">
      <c r="A66" s="723" t="s">
        <v>2</v>
      </c>
      <c r="B66" s="723"/>
      <c r="C66" s="467"/>
      <c r="D66" s="473" t="s">
        <v>12</v>
      </c>
      <c r="E66" s="727"/>
      <c r="F66" s="728"/>
      <c r="G66" s="480"/>
      <c r="H66" s="351"/>
    </row>
    <row r="67" spans="1:8" ht="15" customHeight="1" x14ac:dyDescent="0.25">
      <c r="A67" s="723" t="s">
        <v>3</v>
      </c>
      <c r="B67" s="723"/>
      <c r="C67" s="467"/>
      <c r="D67" s="473" t="s">
        <v>12</v>
      </c>
      <c r="E67" s="774"/>
      <c r="F67" s="775"/>
      <c r="G67" s="480"/>
      <c r="H67" s="455"/>
    </row>
    <row r="68" spans="1:8" ht="15" customHeight="1" x14ac:dyDescent="0.25">
      <c r="A68" s="723" t="s">
        <v>138</v>
      </c>
      <c r="B68" s="723"/>
      <c r="C68" s="357">
        <f>C66*C67</f>
        <v>0</v>
      </c>
      <c r="D68" s="473" t="s">
        <v>210</v>
      </c>
      <c r="E68" s="724"/>
      <c r="F68" s="725"/>
      <c r="G68" s="725"/>
      <c r="H68" s="726"/>
    </row>
    <row r="69" spans="1:8" ht="15" customHeight="1" x14ac:dyDescent="0.25">
      <c r="A69" s="723" t="s">
        <v>26</v>
      </c>
      <c r="B69" s="723"/>
      <c r="C69" s="231">
        <f>IF(E60=0,0,C68*E61*(E62+E60)*E63/E60)</f>
        <v>0</v>
      </c>
      <c r="D69" s="473" t="s">
        <v>207</v>
      </c>
      <c r="E69" s="727"/>
      <c r="F69" s="728"/>
      <c r="G69" s="728"/>
      <c r="H69" s="729"/>
    </row>
    <row r="70" spans="1:8" ht="15" customHeight="1" x14ac:dyDescent="0.25">
      <c r="A70" s="730" t="s">
        <v>88</v>
      </c>
      <c r="B70" s="731"/>
      <c r="C70" s="731"/>
      <c r="D70" s="731"/>
      <c r="E70" s="731"/>
      <c r="F70" s="731"/>
      <c r="G70" s="731"/>
      <c r="H70" s="732"/>
    </row>
    <row r="71" spans="1:8" ht="30.2" customHeight="1" x14ac:dyDescent="0.25">
      <c r="A71" s="755" t="s">
        <v>576</v>
      </c>
      <c r="B71" s="756"/>
      <c r="C71" s="757"/>
      <c r="D71" s="348"/>
      <c r="E71" s="776" t="s">
        <v>560</v>
      </c>
      <c r="F71" s="777"/>
      <c r="G71" s="733"/>
      <c r="H71" s="734"/>
    </row>
    <row r="72" spans="1:8" x14ac:dyDescent="0.25">
      <c r="A72" s="758" t="s">
        <v>23</v>
      </c>
      <c r="B72" s="758"/>
      <c r="C72" s="349">
        <f>IF(C56="Yes",C69*0.4,C69*0.8)</f>
        <v>0</v>
      </c>
      <c r="D72" s="271"/>
      <c r="E72" s="768"/>
      <c r="F72" s="768"/>
      <c r="G72" s="768"/>
      <c r="H72" s="769"/>
    </row>
    <row r="73" spans="1:8" ht="30.2" customHeight="1" x14ac:dyDescent="0.25">
      <c r="A73" s="770" t="s">
        <v>350</v>
      </c>
      <c r="B73" s="770"/>
      <c r="C73" s="247">
        <f>IF(C72&gt;=(SUM(F51,F52)),(SUM(F51,F52)),C72)</f>
        <v>0</v>
      </c>
      <c r="D73" s="484" t="s">
        <v>249</v>
      </c>
      <c r="E73" s="771" t="s">
        <v>433</v>
      </c>
      <c r="F73" s="771"/>
      <c r="G73" s="771"/>
      <c r="H73" s="771"/>
    </row>
    <row r="74" spans="1:8" ht="30.2" customHeight="1" x14ac:dyDescent="0.25">
      <c r="A74" s="758" t="s">
        <v>243</v>
      </c>
      <c r="B74" s="758"/>
      <c r="C74" s="350" t="str">
        <f>IF(ISERROR(IF(D71="Yes",0,(F51+F52)-C73)),"",IF(D71="Yes",0,(F51+F52)-C73))</f>
        <v/>
      </c>
      <c r="D74" s="461" t="s">
        <v>579</v>
      </c>
      <c r="E74" s="759" t="s">
        <v>434</v>
      </c>
      <c r="F74" s="760"/>
      <c r="G74" s="760"/>
      <c r="H74" s="760"/>
    </row>
    <row r="75" spans="1:8" ht="15" customHeight="1" x14ac:dyDescent="0.25">
      <c r="A75" s="761" t="s">
        <v>568</v>
      </c>
      <c r="B75" s="761"/>
      <c r="C75" s="350" t="str">
        <f>IF(ISERROR((F51+F52)-C73-C74),"",((F51+F52)-C73-C74))</f>
        <v/>
      </c>
      <c r="D75" s="461" t="s">
        <v>579</v>
      </c>
      <c r="E75" s="762" t="s">
        <v>548</v>
      </c>
      <c r="F75" s="762"/>
      <c r="G75" s="762"/>
      <c r="H75" s="762"/>
    </row>
    <row r="76" spans="1:8" ht="15" customHeight="1" x14ac:dyDescent="0.25">
      <c r="A76" s="772" t="s">
        <v>577</v>
      </c>
      <c r="B76" s="772"/>
      <c r="C76" s="493" t="str">
        <f>IF(C68&gt;=E64,"OK","Error")</f>
        <v>OK</v>
      </c>
      <c r="D76" s="457"/>
      <c r="E76" s="773" t="s">
        <v>578</v>
      </c>
      <c r="F76" s="773"/>
      <c r="G76" s="773"/>
      <c r="H76" s="773"/>
    </row>
    <row r="77" spans="1:8" ht="15" customHeight="1" x14ac:dyDescent="0.25">
      <c r="A77" s="735" t="s">
        <v>508</v>
      </c>
      <c r="B77" s="736"/>
      <c r="C77" s="736"/>
      <c r="D77" s="736"/>
      <c r="E77" s="736"/>
      <c r="F77" s="736"/>
      <c r="G77" s="736"/>
      <c r="H77" s="736"/>
    </row>
    <row r="78" spans="1:8" ht="15" customHeight="1" x14ac:dyDescent="0.25">
      <c r="A78" s="736" t="s">
        <v>80</v>
      </c>
      <c r="B78" s="736"/>
      <c r="C78" s="763"/>
      <c r="D78" s="763"/>
      <c r="E78" s="763"/>
      <c r="F78" s="763"/>
      <c r="G78" s="763"/>
      <c r="H78" s="763"/>
    </row>
    <row r="79" spans="1:8" ht="15" customHeight="1" x14ac:dyDescent="0.25">
      <c r="A79" s="151" t="s">
        <v>20</v>
      </c>
      <c r="B79" s="737" t="s">
        <v>204</v>
      </c>
      <c r="C79" s="737"/>
      <c r="D79" s="737"/>
      <c r="E79" s="738" t="s">
        <v>200</v>
      </c>
      <c r="F79" s="739" t="s">
        <v>580</v>
      </c>
      <c r="G79" s="739"/>
      <c r="H79" s="739"/>
    </row>
    <row r="80" spans="1:8" ht="15" customHeight="1" x14ac:dyDescent="0.25">
      <c r="A80" s="151" t="s">
        <v>1</v>
      </c>
      <c r="B80" s="737" t="s">
        <v>196</v>
      </c>
      <c r="C80" s="737"/>
      <c r="D80" s="737"/>
      <c r="E80" s="738"/>
      <c r="F80" s="739"/>
      <c r="G80" s="739"/>
      <c r="H80" s="739"/>
    </row>
    <row r="81" spans="1:8" ht="15" customHeight="1" x14ac:dyDescent="0.25">
      <c r="A81" s="151" t="s">
        <v>14</v>
      </c>
      <c r="B81" s="737" t="s">
        <v>197</v>
      </c>
      <c r="C81" s="737"/>
      <c r="D81" s="737"/>
      <c r="E81" s="738"/>
      <c r="F81" s="739"/>
      <c r="G81" s="739"/>
      <c r="H81" s="739"/>
    </row>
    <row r="82" spans="1:8" ht="15" customHeight="1" x14ac:dyDescent="0.25">
      <c r="A82" s="151" t="s">
        <v>16</v>
      </c>
      <c r="B82" s="741" t="s">
        <v>201</v>
      </c>
      <c r="C82" s="741"/>
      <c r="D82" s="741"/>
      <c r="E82" s="738"/>
      <c r="F82" s="739"/>
      <c r="G82" s="739"/>
      <c r="H82" s="739"/>
    </row>
    <row r="83" spans="1:8" ht="15" customHeight="1" x14ac:dyDescent="0.25">
      <c r="A83" s="151" t="s">
        <v>203</v>
      </c>
      <c r="B83" s="737" t="s">
        <v>202</v>
      </c>
      <c r="C83" s="737"/>
      <c r="D83" s="737"/>
      <c r="E83" s="738"/>
      <c r="F83" s="740"/>
      <c r="G83" s="740"/>
      <c r="H83" s="740"/>
    </row>
    <row r="84" spans="1:8" ht="15" customHeight="1" x14ac:dyDescent="0.25">
      <c r="A84" s="151"/>
      <c r="B84" s="463"/>
      <c r="C84" s="463"/>
      <c r="D84" s="463"/>
      <c r="E84" s="464"/>
      <c r="F84" s="465"/>
      <c r="G84" s="465"/>
      <c r="H84" s="465"/>
    </row>
    <row r="85" spans="1:8" ht="15" customHeight="1" x14ac:dyDescent="0.25">
      <c r="A85" s="428" t="s">
        <v>600</v>
      </c>
      <c r="B85" s="426" t="str">
        <f>IF('Total WQv Calculation'!$B$3="","",'Total WQv Calculation'!$B$3)</f>
        <v/>
      </c>
      <c r="C85" s="423"/>
      <c r="D85" s="423"/>
      <c r="E85" s="424"/>
      <c r="F85" s="425"/>
      <c r="G85" s="425"/>
      <c r="H85" s="425"/>
    </row>
    <row r="86" spans="1:8" ht="15" customHeight="1" x14ac:dyDescent="0.25">
      <c r="A86" s="667" t="s">
        <v>79</v>
      </c>
      <c r="B86" s="668"/>
      <c r="C86" s="668"/>
      <c r="D86" s="668"/>
      <c r="E86" s="668"/>
      <c r="F86" s="668"/>
      <c r="G86" s="668"/>
      <c r="H86" s="669"/>
    </row>
    <row r="87" spans="1:8" ht="46.7" customHeight="1" x14ac:dyDescent="0.25">
      <c r="A87" s="504" t="s">
        <v>493</v>
      </c>
      <c r="B87" s="505" t="s">
        <v>610</v>
      </c>
      <c r="C87" s="578" t="s">
        <v>611</v>
      </c>
      <c r="D87" s="505" t="s">
        <v>612</v>
      </c>
      <c r="E87" s="505" t="s">
        <v>7</v>
      </c>
      <c r="F87" s="505" t="s">
        <v>613</v>
      </c>
      <c r="G87" s="505" t="s">
        <v>614</v>
      </c>
      <c r="H87" s="506" t="s">
        <v>29</v>
      </c>
    </row>
    <row r="88" spans="1:8" ht="30.2" customHeight="1" x14ac:dyDescent="0.25">
      <c r="A88" s="213"/>
      <c r="B88" s="576" t="str">
        <f>IF($A88="","",(LOOKUP($A88,'Catchment Summary Table'!$A$4:$A$33,'Catchment Summary Table'!$B$4:$B$33)))</f>
        <v/>
      </c>
      <c r="C88" s="576" t="str">
        <f>IF($A88="","",(LOOKUP($A88,'Catchment Summary Table'!$A$4:$A$33,'Catchment Summary Table'!$C$4:$C$33)))</f>
        <v/>
      </c>
      <c r="D88" s="576" t="str">
        <f>IF($A88="","",(LOOKUP($A88,'Catchment Summary Table'!$A$4:$A$33,'Catchment Summary Table'!$D$4:$D$33)))</f>
        <v/>
      </c>
      <c r="E88" s="576" t="str">
        <f>IF($A88="","",(LOOKUP($A88,'Catchment Summary Table'!$A$4:$A$33,'Catchment Summary Table'!$E$4:$E$33)))</f>
        <v/>
      </c>
      <c r="F88" s="576" t="str">
        <f>IF($A88="","",(LOOKUP($A88,'Catchment Summary Table'!$A$4:$A$33,'Catchment Summary Table'!$F$4:$F$33)))</f>
        <v/>
      </c>
      <c r="G88" s="576" t="str">
        <f>IF(B88="","",IFERROR('Total WQv Calculation'!$B$4,""))</f>
        <v/>
      </c>
      <c r="H88" s="546" t="str">
        <f>IF($A88="","",(LOOKUP($A88,'Catchment Summary Table'!$A$4:$A$33,'Catchment Summary Table'!$G$4:$G$33)))</f>
        <v/>
      </c>
    </row>
    <row r="89" spans="1:8" ht="30.2" customHeight="1" x14ac:dyDescent="0.25">
      <c r="A89" s="742" t="s">
        <v>549</v>
      </c>
      <c r="B89" s="743"/>
      <c r="C89" s="285"/>
      <c r="D89" s="272" t="str">
        <f>IF(ISERROR((C88-C89)/B88),"",(C88-C89)/B88)</f>
        <v/>
      </c>
      <c r="E89" s="262" t="str">
        <f>IF(ISERROR(D89*100*0.009+0.05),"",(D89*100*0.009+0.05))</f>
        <v/>
      </c>
      <c r="F89" s="264" t="str">
        <f>IF(ISERROR(E89*B88*G88/12*43560 ),"",(E89*B88*G88/12*43560 ))</f>
        <v/>
      </c>
      <c r="G89" s="744" t="s">
        <v>550</v>
      </c>
      <c r="H89" s="745"/>
    </row>
    <row r="90" spans="1:8" ht="30.2" customHeight="1" x14ac:dyDescent="0.25">
      <c r="A90" s="778" t="s">
        <v>546</v>
      </c>
      <c r="B90" s="779"/>
      <c r="C90" s="779"/>
      <c r="D90" s="779"/>
      <c r="E90" s="780"/>
      <c r="F90" s="265"/>
      <c r="G90" s="461" t="s">
        <v>207</v>
      </c>
      <c r="H90" s="172"/>
    </row>
    <row r="91" spans="1:8" ht="15" customHeight="1" x14ac:dyDescent="0.25">
      <c r="A91" s="730" t="s">
        <v>509</v>
      </c>
      <c r="B91" s="731"/>
      <c r="C91" s="731"/>
      <c r="D91" s="731"/>
      <c r="E91" s="731"/>
      <c r="F91" s="731"/>
      <c r="G91" s="731"/>
      <c r="H91" s="732"/>
    </row>
    <row r="92" spans="1:8" ht="15" customHeight="1" x14ac:dyDescent="0.25">
      <c r="A92" s="746" t="s">
        <v>216</v>
      </c>
      <c r="B92" s="747"/>
      <c r="C92" s="355"/>
      <c r="D92" s="748"/>
      <c r="E92" s="749"/>
      <c r="F92" s="749"/>
      <c r="G92" s="749"/>
      <c r="H92" s="749"/>
    </row>
    <row r="93" spans="1:8" ht="15" customHeight="1" x14ac:dyDescent="0.25">
      <c r="A93" s="746" t="s">
        <v>507</v>
      </c>
      <c r="B93" s="747"/>
      <c r="C93" s="356"/>
      <c r="D93" s="458" t="s">
        <v>317</v>
      </c>
      <c r="E93" s="749" t="str">
        <f>IF(C93="","",IF(C93&gt;=0.5,"Design as an infiltration bioretention practice","Okay"))</f>
        <v/>
      </c>
      <c r="F93" s="749"/>
      <c r="G93" s="749"/>
      <c r="H93" s="749"/>
    </row>
    <row r="94" spans="1:8" ht="15" customHeight="1" x14ac:dyDescent="0.25">
      <c r="A94" s="746" t="s">
        <v>510</v>
      </c>
      <c r="B94" s="747"/>
      <c r="C94" s="355"/>
      <c r="D94" s="748" t="str">
        <f>IF(C94="","",IF(C94="Yes","Okay", "Design as an infiltration bioretention practice"))</f>
        <v/>
      </c>
      <c r="E94" s="750"/>
      <c r="F94" s="750"/>
      <c r="G94" s="750"/>
      <c r="H94" s="750"/>
    </row>
    <row r="95" spans="1:8" ht="15" customHeight="1" x14ac:dyDescent="0.25">
      <c r="A95" s="730" t="s">
        <v>81</v>
      </c>
      <c r="B95" s="731"/>
      <c r="C95" s="731"/>
      <c r="D95" s="731"/>
      <c r="E95" s="731"/>
      <c r="F95" s="731"/>
      <c r="G95" s="731"/>
      <c r="H95" s="732"/>
    </row>
    <row r="96" spans="1:8" ht="15" customHeight="1" x14ac:dyDescent="0.25">
      <c r="A96" s="266"/>
      <c r="B96" s="267"/>
      <c r="C96" s="267"/>
      <c r="D96" s="268"/>
      <c r="E96" s="751" t="s">
        <v>24</v>
      </c>
      <c r="F96" s="751"/>
      <c r="G96" s="269" t="s">
        <v>21</v>
      </c>
      <c r="H96" s="269" t="s">
        <v>30</v>
      </c>
    </row>
    <row r="97" spans="1:8" ht="15" customHeight="1" x14ac:dyDescent="0.25">
      <c r="A97" s="752" t="s">
        <v>1</v>
      </c>
      <c r="B97" s="752"/>
      <c r="C97" s="752"/>
      <c r="D97" s="462" t="s">
        <v>189</v>
      </c>
      <c r="E97" s="753">
        <f>SUM(F89,F90)</f>
        <v>0</v>
      </c>
      <c r="F97" s="753"/>
      <c r="G97" s="461" t="s">
        <v>207</v>
      </c>
      <c r="H97" s="461"/>
    </row>
    <row r="98" spans="1:8" ht="15" customHeight="1" x14ac:dyDescent="0.25">
      <c r="A98" s="752" t="s">
        <v>82</v>
      </c>
      <c r="B98" s="752"/>
      <c r="C98" s="752"/>
      <c r="D98" s="482" t="s">
        <v>14</v>
      </c>
      <c r="E98" s="754"/>
      <c r="F98" s="754"/>
      <c r="G98" s="461" t="s">
        <v>12</v>
      </c>
      <c r="H98" s="461" t="s">
        <v>86</v>
      </c>
    </row>
    <row r="99" spans="1:8" ht="15" customHeight="1" x14ac:dyDescent="0.25">
      <c r="A99" s="752" t="s">
        <v>83</v>
      </c>
      <c r="B99" s="752"/>
      <c r="C99" s="752"/>
      <c r="D99" s="482" t="s">
        <v>15</v>
      </c>
      <c r="E99" s="754"/>
      <c r="F99" s="754"/>
      <c r="G99" s="461" t="s">
        <v>19</v>
      </c>
      <c r="H99" s="461"/>
    </row>
    <row r="100" spans="1:8" ht="15" customHeight="1" x14ac:dyDescent="0.25">
      <c r="A100" s="752" t="s">
        <v>84</v>
      </c>
      <c r="B100" s="752"/>
      <c r="C100" s="752"/>
      <c r="D100" s="482" t="s">
        <v>16</v>
      </c>
      <c r="E100" s="754"/>
      <c r="F100" s="754"/>
      <c r="G100" s="461" t="s">
        <v>12</v>
      </c>
      <c r="H100" s="461" t="s">
        <v>547</v>
      </c>
    </row>
    <row r="101" spans="1:8" ht="15" customHeight="1" x14ac:dyDescent="0.25">
      <c r="A101" s="752" t="s">
        <v>85</v>
      </c>
      <c r="B101" s="752"/>
      <c r="C101" s="752"/>
      <c r="D101" s="482" t="s">
        <v>17</v>
      </c>
      <c r="E101" s="754"/>
      <c r="F101" s="754"/>
      <c r="G101" s="461" t="s">
        <v>18</v>
      </c>
      <c r="H101" s="461"/>
    </row>
    <row r="102" spans="1:8" ht="15" customHeight="1" x14ac:dyDescent="0.25">
      <c r="A102" s="764" t="s">
        <v>209</v>
      </c>
      <c r="B102" s="765"/>
      <c r="C102" s="766"/>
      <c r="D102" s="173" t="s">
        <v>20</v>
      </c>
      <c r="E102" s="767">
        <f>IF(E97=0,0,E97*E98/(E99*(E100+E98)*E101))</f>
        <v>0</v>
      </c>
      <c r="F102" s="767"/>
      <c r="G102" s="174" t="s">
        <v>208</v>
      </c>
      <c r="H102" s="461"/>
    </row>
    <row r="103" spans="1:8" ht="15" customHeight="1" x14ac:dyDescent="0.25">
      <c r="A103" s="730" t="s">
        <v>87</v>
      </c>
      <c r="B103" s="731"/>
      <c r="C103" s="731"/>
      <c r="D103" s="731"/>
      <c r="E103" s="731"/>
      <c r="F103" s="731"/>
      <c r="G103" s="731"/>
      <c r="H103" s="732"/>
    </row>
    <row r="104" spans="1:8" ht="15" customHeight="1" x14ac:dyDescent="0.25">
      <c r="A104" s="723" t="s">
        <v>2</v>
      </c>
      <c r="B104" s="723"/>
      <c r="C104" s="467"/>
      <c r="D104" s="473" t="s">
        <v>12</v>
      </c>
      <c r="E104" s="727"/>
      <c r="F104" s="728"/>
      <c r="G104" s="480"/>
      <c r="H104" s="351"/>
    </row>
    <row r="105" spans="1:8" ht="15" customHeight="1" x14ac:dyDescent="0.25">
      <c r="A105" s="723" t="s">
        <v>3</v>
      </c>
      <c r="B105" s="723"/>
      <c r="C105" s="467"/>
      <c r="D105" s="473" t="s">
        <v>12</v>
      </c>
      <c r="E105" s="774"/>
      <c r="F105" s="775"/>
      <c r="G105" s="480"/>
      <c r="H105" s="455"/>
    </row>
    <row r="106" spans="1:8" ht="15" customHeight="1" x14ac:dyDescent="0.25">
      <c r="A106" s="723" t="s">
        <v>138</v>
      </c>
      <c r="B106" s="723"/>
      <c r="C106" s="357">
        <f>C104*C105</f>
        <v>0</v>
      </c>
      <c r="D106" s="473" t="s">
        <v>210</v>
      </c>
      <c r="E106" s="724"/>
      <c r="F106" s="725"/>
      <c r="G106" s="725"/>
      <c r="H106" s="726"/>
    </row>
    <row r="107" spans="1:8" ht="15" customHeight="1" x14ac:dyDescent="0.25">
      <c r="A107" s="723" t="s">
        <v>26</v>
      </c>
      <c r="B107" s="723"/>
      <c r="C107" s="231">
        <f>IF(E98=0,0,C106*E99*(E100+E98)*E101/E98)</f>
        <v>0</v>
      </c>
      <c r="D107" s="473" t="s">
        <v>207</v>
      </c>
      <c r="E107" s="727"/>
      <c r="F107" s="728"/>
      <c r="G107" s="728"/>
      <c r="H107" s="729"/>
    </row>
    <row r="108" spans="1:8" ht="15" customHeight="1" x14ac:dyDescent="0.25">
      <c r="A108" s="730" t="s">
        <v>88</v>
      </c>
      <c r="B108" s="731"/>
      <c r="C108" s="731"/>
      <c r="D108" s="731"/>
      <c r="E108" s="731"/>
      <c r="F108" s="731"/>
      <c r="G108" s="731"/>
      <c r="H108" s="732"/>
    </row>
    <row r="109" spans="1:8" ht="30.2" customHeight="1" x14ac:dyDescent="0.25">
      <c r="A109" s="755" t="s">
        <v>576</v>
      </c>
      <c r="B109" s="756"/>
      <c r="C109" s="757"/>
      <c r="D109" s="348"/>
      <c r="E109" s="776" t="s">
        <v>560</v>
      </c>
      <c r="F109" s="777"/>
      <c r="G109" s="733"/>
      <c r="H109" s="734"/>
    </row>
    <row r="110" spans="1:8" ht="15" customHeight="1" x14ac:dyDescent="0.25">
      <c r="A110" s="758" t="s">
        <v>23</v>
      </c>
      <c r="B110" s="758"/>
      <c r="C110" s="349">
        <f>IF(C94="Yes",C107*0.4,C107*0.8)</f>
        <v>0</v>
      </c>
      <c r="D110" s="271"/>
      <c r="E110" s="768"/>
      <c r="F110" s="768"/>
      <c r="G110" s="768"/>
      <c r="H110" s="769"/>
    </row>
    <row r="111" spans="1:8" ht="30.2" customHeight="1" x14ac:dyDescent="0.25">
      <c r="A111" s="770" t="s">
        <v>350</v>
      </c>
      <c r="B111" s="770"/>
      <c r="C111" s="247">
        <f>IF(C110&gt;=(SUM(F89,F90)),(SUM(F89,F90)),C110)</f>
        <v>0</v>
      </c>
      <c r="D111" s="484" t="s">
        <v>249</v>
      </c>
      <c r="E111" s="771" t="s">
        <v>433</v>
      </c>
      <c r="F111" s="771"/>
      <c r="G111" s="771"/>
      <c r="H111" s="771"/>
    </row>
    <row r="112" spans="1:8" ht="30.2" customHeight="1" x14ac:dyDescent="0.25">
      <c r="A112" s="758" t="s">
        <v>243</v>
      </c>
      <c r="B112" s="758"/>
      <c r="C112" s="350" t="str">
        <f>IF(ISERROR(IF(D109="Yes",0,(F89+F90)-C111)),"",IF(D109="Yes",0,(F89+F90)-C111))</f>
        <v/>
      </c>
      <c r="D112" s="461" t="s">
        <v>579</v>
      </c>
      <c r="E112" s="759" t="s">
        <v>434</v>
      </c>
      <c r="F112" s="760"/>
      <c r="G112" s="760"/>
      <c r="H112" s="760"/>
    </row>
    <row r="113" spans="1:8" ht="15" customHeight="1" x14ac:dyDescent="0.25">
      <c r="A113" s="761" t="s">
        <v>568</v>
      </c>
      <c r="B113" s="761"/>
      <c r="C113" s="350" t="str">
        <f>IF(ISERROR((F89+F90)-C111-C112),"",((F89+F90)-C111-C112))</f>
        <v/>
      </c>
      <c r="D113" s="461" t="s">
        <v>579</v>
      </c>
      <c r="E113" s="762" t="s">
        <v>548</v>
      </c>
      <c r="F113" s="762"/>
      <c r="G113" s="762"/>
      <c r="H113" s="762"/>
    </row>
    <row r="114" spans="1:8" ht="15" customHeight="1" x14ac:dyDescent="0.25">
      <c r="A114" s="772" t="s">
        <v>577</v>
      </c>
      <c r="B114" s="772"/>
      <c r="C114" s="493" t="str">
        <f>IF(C106&gt;=E102,"OK","Error")</f>
        <v>OK</v>
      </c>
      <c r="D114" s="457"/>
      <c r="E114" s="773" t="s">
        <v>578</v>
      </c>
      <c r="F114" s="773"/>
      <c r="G114" s="773"/>
      <c r="H114" s="773"/>
    </row>
    <row r="115" spans="1:8" ht="15" customHeight="1" x14ac:dyDescent="0.25">
      <c r="A115" s="735" t="s">
        <v>508</v>
      </c>
      <c r="B115" s="736"/>
      <c r="C115" s="736"/>
      <c r="D115" s="736"/>
      <c r="E115" s="736"/>
      <c r="F115" s="736"/>
      <c r="G115" s="736"/>
      <c r="H115" s="736"/>
    </row>
    <row r="116" spans="1:8" ht="15" customHeight="1" x14ac:dyDescent="0.25">
      <c r="A116" s="736" t="s">
        <v>80</v>
      </c>
      <c r="B116" s="736"/>
      <c r="C116" s="763"/>
      <c r="D116" s="763"/>
      <c r="E116" s="763"/>
      <c r="F116" s="763"/>
      <c r="G116" s="763"/>
      <c r="H116" s="763"/>
    </row>
    <row r="117" spans="1:8" ht="15" customHeight="1" x14ac:dyDescent="0.25">
      <c r="A117" s="151" t="s">
        <v>20</v>
      </c>
      <c r="B117" s="737" t="s">
        <v>204</v>
      </c>
      <c r="C117" s="737"/>
      <c r="D117" s="737"/>
      <c r="E117" s="738" t="s">
        <v>200</v>
      </c>
      <c r="F117" s="739" t="s">
        <v>580</v>
      </c>
      <c r="G117" s="739"/>
      <c r="H117" s="739"/>
    </row>
    <row r="118" spans="1:8" ht="15" customHeight="1" x14ac:dyDescent="0.25">
      <c r="A118" s="151" t="s">
        <v>1</v>
      </c>
      <c r="B118" s="737" t="s">
        <v>196</v>
      </c>
      <c r="C118" s="737"/>
      <c r="D118" s="737"/>
      <c r="E118" s="738"/>
      <c r="F118" s="739"/>
      <c r="G118" s="739"/>
      <c r="H118" s="739"/>
    </row>
    <row r="119" spans="1:8" ht="15" customHeight="1" x14ac:dyDescent="0.25">
      <c r="A119" s="151" t="s">
        <v>14</v>
      </c>
      <c r="B119" s="737" t="s">
        <v>197</v>
      </c>
      <c r="C119" s="737"/>
      <c r="D119" s="737"/>
      <c r="E119" s="738"/>
      <c r="F119" s="739"/>
      <c r="G119" s="739"/>
      <c r="H119" s="739"/>
    </row>
    <row r="120" spans="1:8" ht="15" customHeight="1" x14ac:dyDescent="0.25">
      <c r="A120" s="151" t="s">
        <v>16</v>
      </c>
      <c r="B120" s="741" t="s">
        <v>201</v>
      </c>
      <c r="C120" s="741"/>
      <c r="D120" s="741"/>
      <c r="E120" s="738"/>
      <c r="F120" s="739"/>
      <c r="G120" s="739"/>
      <c r="H120" s="739"/>
    </row>
    <row r="121" spans="1:8" ht="15" customHeight="1" x14ac:dyDescent="0.25">
      <c r="A121" s="151" t="s">
        <v>203</v>
      </c>
      <c r="B121" s="737" t="s">
        <v>202</v>
      </c>
      <c r="C121" s="737"/>
      <c r="D121" s="737"/>
      <c r="E121" s="738"/>
      <c r="F121" s="740"/>
      <c r="G121" s="740"/>
      <c r="H121" s="740"/>
    </row>
    <row r="122" spans="1:8" ht="15" customHeight="1" x14ac:dyDescent="0.25">
      <c r="A122" s="151"/>
      <c r="B122" s="463"/>
      <c r="C122" s="463"/>
      <c r="D122" s="463"/>
      <c r="E122" s="464"/>
      <c r="F122" s="465"/>
      <c r="G122" s="465"/>
      <c r="H122" s="465"/>
    </row>
    <row r="123" spans="1:8" ht="15" customHeight="1" x14ac:dyDescent="0.25">
      <c r="A123" s="428" t="s">
        <v>600</v>
      </c>
      <c r="B123" s="426" t="str">
        <f>IF('Total WQv Calculation'!$B$3="","",'Total WQv Calculation'!$B$3)</f>
        <v/>
      </c>
      <c r="C123" s="423"/>
      <c r="D123" s="423"/>
      <c r="E123" s="424"/>
      <c r="F123" s="425"/>
      <c r="G123" s="425"/>
      <c r="H123" s="425"/>
    </row>
    <row r="124" spans="1:8" ht="15" customHeight="1" x14ac:dyDescent="0.25">
      <c r="A124" s="667" t="s">
        <v>79</v>
      </c>
      <c r="B124" s="668"/>
      <c r="C124" s="668"/>
      <c r="D124" s="668"/>
      <c r="E124" s="668"/>
      <c r="F124" s="668"/>
      <c r="G124" s="668"/>
      <c r="H124" s="669"/>
    </row>
    <row r="125" spans="1:8" ht="46.7" customHeight="1" x14ac:dyDescent="0.25">
      <c r="A125" s="504" t="s">
        <v>493</v>
      </c>
      <c r="B125" s="505" t="s">
        <v>610</v>
      </c>
      <c r="C125" s="578" t="s">
        <v>611</v>
      </c>
      <c r="D125" s="505" t="s">
        <v>612</v>
      </c>
      <c r="E125" s="505" t="s">
        <v>7</v>
      </c>
      <c r="F125" s="505" t="s">
        <v>613</v>
      </c>
      <c r="G125" s="505" t="s">
        <v>614</v>
      </c>
      <c r="H125" s="506" t="s">
        <v>29</v>
      </c>
    </row>
    <row r="126" spans="1:8" ht="30.2" customHeight="1" x14ac:dyDescent="0.25">
      <c r="A126" s="213"/>
      <c r="B126" s="576" t="str">
        <f>IF($A126="","",(LOOKUP($A126,'Catchment Summary Table'!$A$4:$A$33,'Catchment Summary Table'!$B$4:$B$33)))</f>
        <v/>
      </c>
      <c r="C126" s="576" t="str">
        <f>IF($A126="","",(LOOKUP($A126,'Catchment Summary Table'!$A$4:$A$33,'Catchment Summary Table'!$C$4:$C$33)))</f>
        <v/>
      </c>
      <c r="D126" s="576" t="str">
        <f>IF($A126="","",(LOOKUP($A126,'Catchment Summary Table'!$A$4:$A$33,'Catchment Summary Table'!$D$4:$D$33)))</f>
        <v/>
      </c>
      <c r="E126" s="576" t="str">
        <f>IF($A126="","",(LOOKUP($A126,'Catchment Summary Table'!$A$4:$A$33,'Catchment Summary Table'!$E$4:$E$33)))</f>
        <v/>
      </c>
      <c r="F126" s="576" t="str">
        <f>IF($A126="","",(LOOKUP($A126,'Catchment Summary Table'!$A$4:$A$33,'Catchment Summary Table'!$F$4:$F$33)))</f>
        <v/>
      </c>
      <c r="G126" s="576" t="str">
        <f>IF(B126="","",IFERROR('Total WQv Calculation'!$B$4,""))</f>
        <v/>
      </c>
      <c r="H126" s="546" t="str">
        <f>IF($A126="","",(LOOKUP($A126,'Catchment Summary Table'!$A$4:$A$33,'Catchment Summary Table'!$G$4:$G$33)))</f>
        <v/>
      </c>
    </row>
    <row r="127" spans="1:8" ht="30.2" customHeight="1" x14ac:dyDescent="0.25">
      <c r="A127" s="742" t="s">
        <v>549</v>
      </c>
      <c r="B127" s="743"/>
      <c r="C127" s="285"/>
      <c r="D127" s="272" t="str">
        <f>IF(ISERROR((C126-C127)/B126),"",(C126-C127)/B126)</f>
        <v/>
      </c>
      <c r="E127" s="262" t="str">
        <f>IF(ISERROR(D127*100*0.009+0.05),"",(D127*100*0.009+0.05))</f>
        <v/>
      </c>
      <c r="F127" s="264" t="str">
        <f>IF(ISERROR(E127*B126*G126/12*43560 ),"",(E127*B126*G126/12*43560 ))</f>
        <v/>
      </c>
      <c r="G127" s="744" t="s">
        <v>550</v>
      </c>
      <c r="H127" s="745"/>
    </row>
    <row r="128" spans="1:8" ht="30.2" customHeight="1" x14ac:dyDescent="0.25">
      <c r="A128" s="778" t="s">
        <v>546</v>
      </c>
      <c r="B128" s="779"/>
      <c r="C128" s="779"/>
      <c r="D128" s="779"/>
      <c r="E128" s="780"/>
      <c r="F128" s="265"/>
      <c r="G128" s="461" t="s">
        <v>207</v>
      </c>
      <c r="H128" s="172"/>
    </row>
    <row r="129" spans="1:8" ht="15" customHeight="1" x14ac:dyDescent="0.25">
      <c r="A129" s="730" t="s">
        <v>509</v>
      </c>
      <c r="B129" s="731"/>
      <c r="C129" s="731"/>
      <c r="D129" s="731"/>
      <c r="E129" s="731"/>
      <c r="F129" s="731"/>
      <c r="G129" s="731"/>
      <c r="H129" s="732"/>
    </row>
    <row r="130" spans="1:8" ht="15" customHeight="1" x14ac:dyDescent="0.25">
      <c r="A130" s="746" t="s">
        <v>216</v>
      </c>
      <c r="B130" s="747"/>
      <c r="C130" s="355"/>
      <c r="D130" s="748"/>
      <c r="E130" s="749"/>
      <c r="F130" s="749"/>
      <c r="G130" s="749"/>
      <c r="H130" s="749"/>
    </row>
    <row r="131" spans="1:8" ht="15" customHeight="1" x14ac:dyDescent="0.25">
      <c r="A131" s="746" t="s">
        <v>507</v>
      </c>
      <c r="B131" s="747"/>
      <c r="C131" s="356"/>
      <c r="D131" s="458" t="s">
        <v>317</v>
      </c>
      <c r="E131" s="749" t="str">
        <f>IF(C131="","",IF(C131&gt;=0.5,"Design as an infiltration bioretention practice","Okay"))</f>
        <v/>
      </c>
      <c r="F131" s="749"/>
      <c r="G131" s="749"/>
      <c r="H131" s="749"/>
    </row>
    <row r="132" spans="1:8" ht="15" customHeight="1" x14ac:dyDescent="0.25">
      <c r="A132" s="746" t="s">
        <v>510</v>
      </c>
      <c r="B132" s="747"/>
      <c r="C132" s="355"/>
      <c r="D132" s="748" t="str">
        <f>IF(C132="","",IF(C132="Yes","Okay", "Design as an infiltration bioretention practice"))</f>
        <v/>
      </c>
      <c r="E132" s="750"/>
      <c r="F132" s="750"/>
      <c r="G132" s="750"/>
      <c r="H132" s="750"/>
    </row>
    <row r="133" spans="1:8" ht="15" customHeight="1" x14ac:dyDescent="0.25">
      <c r="A133" s="730" t="s">
        <v>81</v>
      </c>
      <c r="B133" s="731"/>
      <c r="C133" s="731"/>
      <c r="D133" s="731"/>
      <c r="E133" s="731"/>
      <c r="F133" s="731"/>
      <c r="G133" s="731"/>
      <c r="H133" s="732"/>
    </row>
    <row r="134" spans="1:8" ht="15" customHeight="1" x14ac:dyDescent="0.25">
      <c r="A134" s="266"/>
      <c r="B134" s="267"/>
      <c r="C134" s="267"/>
      <c r="D134" s="268"/>
      <c r="E134" s="751" t="s">
        <v>24</v>
      </c>
      <c r="F134" s="751"/>
      <c r="G134" s="269" t="s">
        <v>21</v>
      </c>
      <c r="H134" s="269" t="s">
        <v>30</v>
      </c>
    </row>
    <row r="135" spans="1:8" ht="15" customHeight="1" x14ac:dyDescent="0.25">
      <c r="A135" s="752" t="s">
        <v>1</v>
      </c>
      <c r="B135" s="752"/>
      <c r="C135" s="752"/>
      <c r="D135" s="462" t="s">
        <v>189</v>
      </c>
      <c r="E135" s="753">
        <f>SUM(F127,F128)</f>
        <v>0</v>
      </c>
      <c r="F135" s="753"/>
      <c r="G135" s="461" t="s">
        <v>207</v>
      </c>
      <c r="H135" s="461"/>
    </row>
    <row r="136" spans="1:8" ht="15" customHeight="1" x14ac:dyDescent="0.25">
      <c r="A136" s="752" t="s">
        <v>82</v>
      </c>
      <c r="B136" s="752"/>
      <c r="C136" s="752"/>
      <c r="D136" s="482" t="s">
        <v>14</v>
      </c>
      <c r="E136" s="754"/>
      <c r="F136" s="754"/>
      <c r="G136" s="461" t="s">
        <v>12</v>
      </c>
      <c r="H136" s="461" t="s">
        <v>86</v>
      </c>
    </row>
    <row r="137" spans="1:8" ht="15" customHeight="1" x14ac:dyDescent="0.25">
      <c r="A137" s="752" t="s">
        <v>83</v>
      </c>
      <c r="B137" s="752"/>
      <c r="C137" s="752"/>
      <c r="D137" s="482" t="s">
        <v>15</v>
      </c>
      <c r="E137" s="754"/>
      <c r="F137" s="754"/>
      <c r="G137" s="461" t="s">
        <v>19</v>
      </c>
      <c r="H137" s="461"/>
    </row>
    <row r="138" spans="1:8" ht="15" customHeight="1" x14ac:dyDescent="0.25">
      <c r="A138" s="752" t="s">
        <v>84</v>
      </c>
      <c r="B138" s="752"/>
      <c r="C138" s="752"/>
      <c r="D138" s="482" t="s">
        <v>16</v>
      </c>
      <c r="E138" s="754"/>
      <c r="F138" s="754"/>
      <c r="G138" s="461" t="s">
        <v>12</v>
      </c>
      <c r="H138" s="461" t="s">
        <v>547</v>
      </c>
    </row>
    <row r="139" spans="1:8" ht="15" customHeight="1" x14ac:dyDescent="0.25">
      <c r="A139" s="752" t="s">
        <v>85</v>
      </c>
      <c r="B139" s="752"/>
      <c r="C139" s="752"/>
      <c r="D139" s="482" t="s">
        <v>17</v>
      </c>
      <c r="E139" s="754"/>
      <c r="F139" s="754"/>
      <c r="G139" s="461" t="s">
        <v>18</v>
      </c>
      <c r="H139" s="461"/>
    </row>
    <row r="140" spans="1:8" ht="15" customHeight="1" x14ac:dyDescent="0.25">
      <c r="A140" s="764" t="s">
        <v>209</v>
      </c>
      <c r="B140" s="765"/>
      <c r="C140" s="766"/>
      <c r="D140" s="173" t="s">
        <v>20</v>
      </c>
      <c r="E140" s="767">
        <f>IF(E135=0,0,E135*E136/(E137*(E138+E136)*E139))</f>
        <v>0</v>
      </c>
      <c r="F140" s="767"/>
      <c r="G140" s="174" t="s">
        <v>208</v>
      </c>
      <c r="H140" s="461"/>
    </row>
    <row r="141" spans="1:8" ht="15" customHeight="1" x14ac:dyDescent="0.25">
      <c r="A141" s="730" t="s">
        <v>87</v>
      </c>
      <c r="B141" s="731"/>
      <c r="C141" s="731"/>
      <c r="D141" s="731"/>
      <c r="E141" s="731"/>
      <c r="F141" s="731"/>
      <c r="G141" s="731"/>
      <c r="H141" s="732"/>
    </row>
    <row r="142" spans="1:8" ht="15" customHeight="1" x14ac:dyDescent="0.25">
      <c r="A142" s="723" t="s">
        <v>2</v>
      </c>
      <c r="B142" s="723"/>
      <c r="C142" s="467"/>
      <c r="D142" s="473" t="s">
        <v>12</v>
      </c>
      <c r="E142" s="727"/>
      <c r="F142" s="728"/>
      <c r="G142" s="480"/>
      <c r="H142" s="351"/>
    </row>
    <row r="143" spans="1:8" ht="15" customHeight="1" x14ac:dyDescent="0.25">
      <c r="A143" s="723" t="s">
        <v>3</v>
      </c>
      <c r="B143" s="723"/>
      <c r="C143" s="467"/>
      <c r="D143" s="473" t="s">
        <v>12</v>
      </c>
      <c r="E143" s="774"/>
      <c r="F143" s="775"/>
      <c r="G143" s="480"/>
      <c r="H143" s="455"/>
    </row>
    <row r="144" spans="1:8" ht="15" customHeight="1" x14ac:dyDescent="0.25">
      <c r="A144" s="723" t="s">
        <v>138</v>
      </c>
      <c r="B144" s="723"/>
      <c r="C144" s="357">
        <f>C142*C143</f>
        <v>0</v>
      </c>
      <c r="D144" s="473" t="s">
        <v>210</v>
      </c>
      <c r="E144" s="724"/>
      <c r="F144" s="725"/>
      <c r="G144" s="725"/>
      <c r="H144" s="726"/>
    </row>
    <row r="145" spans="1:8" ht="15" customHeight="1" x14ac:dyDescent="0.25">
      <c r="A145" s="723" t="s">
        <v>26</v>
      </c>
      <c r="B145" s="723"/>
      <c r="C145" s="231">
        <f>IF(E136=0,0,C144*E137*(E138+E136)*E139/E136)</f>
        <v>0</v>
      </c>
      <c r="D145" s="473" t="s">
        <v>207</v>
      </c>
      <c r="E145" s="727"/>
      <c r="F145" s="728"/>
      <c r="G145" s="728"/>
      <c r="H145" s="729"/>
    </row>
    <row r="146" spans="1:8" ht="15" customHeight="1" x14ac:dyDescent="0.25">
      <c r="A146" s="730" t="s">
        <v>88</v>
      </c>
      <c r="B146" s="731"/>
      <c r="C146" s="731"/>
      <c r="D146" s="731"/>
      <c r="E146" s="731"/>
      <c r="F146" s="731"/>
      <c r="G146" s="731"/>
      <c r="H146" s="732"/>
    </row>
    <row r="147" spans="1:8" ht="30.2" customHeight="1" x14ac:dyDescent="0.25">
      <c r="A147" s="755" t="s">
        <v>576</v>
      </c>
      <c r="B147" s="756"/>
      <c r="C147" s="757"/>
      <c r="D147" s="348"/>
      <c r="E147" s="776" t="s">
        <v>560</v>
      </c>
      <c r="F147" s="777"/>
      <c r="G147" s="733"/>
      <c r="H147" s="734"/>
    </row>
    <row r="148" spans="1:8" ht="15" customHeight="1" x14ac:dyDescent="0.25">
      <c r="A148" s="758" t="s">
        <v>23</v>
      </c>
      <c r="B148" s="758"/>
      <c r="C148" s="349">
        <f>IF(C132="Yes",C145*0.4,C145*0.8)</f>
        <v>0</v>
      </c>
      <c r="D148" s="271"/>
      <c r="E148" s="768"/>
      <c r="F148" s="768"/>
      <c r="G148" s="768"/>
      <c r="H148" s="769"/>
    </row>
    <row r="149" spans="1:8" ht="30.2" customHeight="1" x14ac:dyDescent="0.25">
      <c r="A149" s="770" t="s">
        <v>350</v>
      </c>
      <c r="B149" s="770"/>
      <c r="C149" s="247">
        <f>IF(C148&gt;=(SUM(F127,F128)),(SUM(F127,F128)),C148)</f>
        <v>0</v>
      </c>
      <c r="D149" s="484" t="s">
        <v>249</v>
      </c>
      <c r="E149" s="771" t="s">
        <v>433</v>
      </c>
      <c r="F149" s="771"/>
      <c r="G149" s="771"/>
      <c r="H149" s="771"/>
    </row>
    <row r="150" spans="1:8" ht="30.2" customHeight="1" x14ac:dyDescent="0.25">
      <c r="A150" s="758" t="s">
        <v>243</v>
      </c>
      <c r="B150" s="758"/>
      <c r="C150" s="350" t="str">
        <f>IF(ISERROR(IF(D147="Yes",0,(F127+F128)-C149)),"",IF(D147="Yes",0,(F127+F128)-C149))</f>
        <v/>
      </c>
      <c r="D150" s="461" t="s">
        <v>579</v>
      </c>
      <c r="E150" s="759" t="s">
        <v>434</v>
      </c>
      <c r="F150" s="760"/>
      <c r="G150" s="760"/>
      <c r="H150" s="760"/>
    </row>
    <row r="151" spans="1:8" ht="15" customHeight="1" x14ac:dyDescent="0.25">
      <c r="A151" s="761" t="s">
        <v>568</v>
      </c>
      <c r="B151" s="761"/>
      <c r="C151" s="350" t="str">
        <f>IF(ISERROR((F127+F128)-C149-C150),"",((F127+F128)-C149-C150))</f>
        <v/>
      </c>
      <c r="D151" s="461" t="s">
        <v>579</v>
      </c>
      <c r="E151" s="762" t="s">
        <v>548</v>
      </c>
      <c r="F151" s="762"/>
      <c r="G151" s="762"/>
      <c r="H151" s="762"/>
    </row>
    <row r="152" spans="1:8" ht="15" customHeight="1" x14ac:dyDescent="0.25">
      <c r="A152" s="772" t="s">
        <v>577</v>
      </c>
      <c r="B152" s="772"/>
      <c r="C152" s="493" t="str">
        <f>IF(C144&gt;=E140,"OK","Error")</f>
        <v>OK</v>
      </c>
      <c r="D152" s="457"/>
      <c r="E152" s="773" t="s">
        <v>578</v>
      </c>
      <c r="F152" s="773"/>
      <c r="G152" s="773"/>
      <c r="H152" s="773"/>
    </row>
    <row r="153" spans="1:8" ht="15" customHeight="1" x14ac:dyDescent="0.25">
      <c r="A153" s="781" t="s">
        <v>515</v>
      </c>
      <c r="B153" s="781"/>
      <c r="C153" s="315">
        <f>SUM(C35,C73,C111,C149)</f>
        <v>0</v>
      </c>
    </row>
    <row r="154" spans="1:8" ht="15" customHeight="1" x14ac:dyDescent="0.25">
      <c r="A154" s="782" t="s">
        <v>5</v>
      </c>
      <c r="B154" s="782"/>
      <c r="C154" s="315">
        <f>SUM(B12,B50,B88,B126)</f>
        <v>0</v>
      </c>
    </row>
    <row r="155" spans="1:8" ht="15" customHeight="1" x14ac:dyDescent="0.25">
      <c r="A155" s="782" t="s">
        <v>521</v>
      </c>
      <c r="B155" s="782"/>
      <c r="C155" s="315">
        <f>SUM(IFERROR(C12-C13,0),IFERROR(C50-C51,0),IFERROR(C88-C89,0),IFERROR(C126-C127,0))</f>
        <v>0</v>
      </c>
    </row>
    <row r="156" spans="1:8" ht="15" customHeight="1" x14ac:dyDescent="0.25">
      <c r="A156" s="782" t="s">
        <v>300</v>
      </c>
      <c r="B156" s="782"/>
      <c r="C156" s="315">
        <f>SUM(C36,C74,C112,C150)</f>
        <v>0</v>
      </c>
    </row>
    <row r="157" spans="1:8" ht="51" customHeight="1" x14ac:dyDescent="0.25">
      <c r="A157" s="783" t="s">
        <v>553</v>
      </c>
      <c r="B157" s="783"/>
      <c r="C157" s="315">
        <f>SUM(C13,C51,C89,C127)</f>
        <v>0</v>
      </c>
    </row>
  </sheetData>
  <sheetProtection password="C7D7" sheet="1" objects="1" scenarios="1" formatColumns="0" formatRows="0"/>
  <mergeCells count="233">
    <mergeCell ref="A154:B154"/>
    <mergeCell ref="A155:B155"/>
    <mergeCell ref="A156:B156"/>
    <mergeCell ref="A157:B157"/>
    <mergeCell ref="A31:B31"/>
    <mergeCell ref="A33:C33"/>
    <mergeCell ref="E33:F33"/>
    <mergeCell ref="G33:H33"/>
    <mergeCell ref="A90:E90"/>
    <mergeCell ref="E67:F67"/>
    <mergeCell ref="A76:B76"/>
    <mergeCell ref="E76:H76"/>
    <mergeCell ref="A100:C100"/>
    <mergeCell ref="E100:F100"/>
    <mergeCell ref="A74:B74"/>
    <mergeCell ref="A75:B75"/>
    <mergeCell ref="E75:H75"/>
    <mergeCell ref="A67:B67"/>
    <mergeCell ref="A68:B68"/>
    <mergeCell ref="A73:B73"/>
    <mergeCell ref="E73:H73"/>
    <mergeCell ref="A70:H70"/>
    <mergeCell ref="A71:C71"/>
    <mergeCell ref="E60:F60"/>
    <mergeCell ref="E26:F26"/>
    <mergeCell ref="E20:F20"/>
    <mergeCell ref="A24:C24"/>
    <mergeCell ref="A23:C23"/>
    <mergeCell ref="A22:C22"/>
    <mergeCell ref="E28:F28"/>
    <mergeCell ref="E29:F29"/>
    <mergeCell ref="A30:B30"/>
    <mergeCell ref="A153:B153"/>
    <mergeCell ref="E71:F71"/>
    <mergeCell ref="E69:H69"/>
    <mergeCell ref="A78:H78"/>
    <mergeCell ref="B80:D80"/>
    <mergeCell ref="E74:H74"/>
    <mergeCell ref="B41:D41"/>
    <mergeCell ref="E41:E45"/>
    <mergeCell ref="B42:D42"/>
    <mergeCell ref="B43:D43"/>
    <mergeCell ref="B44:D44"/>
    <mergeCell ref="B45:D45"/>
    <mergeCell ref="A48:H48"/>
    <mergeCell ref="A52:E52"/>
    <mergeCell ref="E59:F59"/>
    <mergeCell ref="A60:C60"/>
    <mergeCell ref="A1:H1"/>
    <mergeCell ref="A15:H15"/>
    <mergeCell ref="A38:B38"/>
    <mergeCell ref="E38:H38"/>
    <mergeCell ref="E31:H31"/>
    <mergeCell ref="E30:H30"/>
    <mergeCell ref="A34:B34"/>
    <mergeCell ref="A35:B35"/>
    <mergeCell ref="A36:B36"/>
    <mergeCell ref="A10:H10"/>
    <mergeCell ref="A19:H19"/>
    <mergeCell ref="A14:E14"/>
    <mergeCell ref="A21:C21"/>
    <mergeCell ref="A25:C25"/>
    <mergeCell ref="E21:F21"/>
    <mergeCell ref="E22:F22"/>
    <mergeCell ref="E23:F23"/>
    <mergeCell ref="E24:F24"/>
    <mergeCell ref="A26:C26"/>
    <mergeCell ref="A2:H2"/>
    <mergeCell ref="E36:H36"/>
    <mergeCell ref="E35:H35"/>
    <mergeCell ref="E34:H34"/>
    <mergeCell ref="A32:H32"/>
    <mergeCell ref="A57:H57"/>
    <mergeCell ref="E58:F58"/>
    <mergeCell ref="A59:C59"/>
    <mergeCell ref="E61:F61"/>
    <mergeCell ref="A62:C62"/>
    <mergeCell ref="E62:F62"/>
    <mergeCell ref="A63:C63"/>
    <mergeCell ref="A65:H65"/>
    <mergeCell ref="B3:D3"/>
    <mergeCell ref="B4:D4"/>
    <mergeCell ref="B5:D5"/>
    <mergeCell ref="F3:H7"/>
    <mergeCell ref="B6:D6"/>
    <mergeCell ref="B7:D7"/>
    <mergeCell ref="E3:E7"/>
    <mergeCell ref="A13:B13"/>
    <mergeCell ref="G13:H13"/>
    <mergeCell ref="D18:H18"/>
    <mergeCell ref="D16:H16"/>
    <mergeCell ref="A17:B17"/>
    <mergeCell ref="A18:B18"/>
    <mergeCell ref="A16:B16"/>
    <mergeCell ref="E17:H17"/>
    <mergeCell ref="A27:H27"/>
    <mergeCell ref="A55:B55"/>
    <mergeCell ref="A56:B56"/>
    <mergeCell ref="A53:H53"/>
    <mergeCell ref="A54:B54"/>
    <mergeCell ref="D54:H54"/>
    <mergeCell ref="E55:H55"/>
    <mergeCell ref="D56:H56"/>
    <mergeCell ref="A51:B51"/>
    <mergeCell ref="G51:H51"/>
    <mergeCell ref="F41:H46"/>
    <mergeCell ref="A28:B28"/>
    <mergeCell ref="A29:B29"/>
    <mergeCell ref="A39:H39"/>
    <mergeCell ref="A40:H40"/>
    <mergeCell ref="A37:B37"/>
    <mergeCell ref="E37:H37"/>
    <mergeCell ref="E25:F25"/>
    <mergeCell ref="A151:B151"/>
    <mergeCell ref="E151:H151"/>
    <mergeCell ref="A139:C139"/>
    <mergeCell ref="E139:F139"/>
    <mergeCell ref="A140:C140"/>
    <mergeCell ref="E140:F140"/>
    <mergeCell ref="E142:F142"/>
    <mergeCell ref="E143:F143"/>
    <mergeCell ref="A130:B130"/>
    <mergeCell ref="A142:B142"/>
    <mergeCell ref="A143:B143"/>
    <mergeCell ref="A131:B131"/>
    <mergeCell ref="E131:H131"/>
    <mergeCell ref="A132:B132"/>
    <mergeCell ref="D132:H132"/>
    <mergeCell ref="A133:H133"/>
    <mergeCell ref="A152:B152"/>
    <mergeCell ref="E152:H152"/>
    <mergeCell ref="A150:B150"/>
    <mergeCell ref="A149:B149"/>
    <mergeCell ref="E149:H149"/>
    <mergeCell ref="E150:H150"/>
    <mergeCell ref="A145:B145"/>
    <mergeCell ref="A148:B148"/>
    <mergeCell ref="E148:H148"/>
    <mergeCell ref="A147:C147"/>
    <mergeCell ref="E147:F147"/>
    <mergeCell ref="E134:F134"/>
    <mergeCell ref="A135:C135"/>
    <mergeCell ref="E135:F135"/>
    <mergeCell ref="A136:C136"/>
    <mergeCell ref="E136:F136"/>
    <mergeCell ref="A137:C137"/>
    <mergeCell ref="E137:F137"/>
    <mergeCell ref="A66:B66"/>
    <mergeCell ref="E66:F66"/>
    <mergeCell ref="E68:H68"/>
    <mergeCell ref="A69:B69"/>
    <mergeCell ref="E102:F102"/>
    <mergeCell ref="B83:D83"/>
    <mergeCell ref="A93:B93"/>
    <mergeCell ref="A95:H95"/>
    <mergeCell ref="A128:E128"/>
    <mergeCell ref="A129:H129"/>
    <mergeCell ref="D130:H130"/>
    <mergeCell ref="B119:D119"/>
    <mergeCell ref="B120:D120"/>
    <mergeCell ref="B121:D121"/>
    <mergeCell ref="E63:F63"/>
    <mergeCell ref="A64:C64"/>
    <mergeCell ref="E64:F64"/>
    <mergeCell ref="A61:C61"/>
    <mergeCell ref="E117:E121"/>
    <mergeCell ref="F117:H121"/>
    <mergeCell ref="B118:D118"/>
    <mergeCell ref="E110:H110"/>
    <mergeCell ref="A111:B111"/>
    <mergeCell ref="E111:H111"/>
    <mergeCell ref="B117:D117"/>
    <mergeCell ref="G71:H71"/>
    <mergeCell ref="A72:B72"/>
    <mergeCell ref="E72:H72"/>
    <mergeCell ref="A114:B114"/>
    <mergeCell ref="E114:H114"/>
    <mergeCell ref="E104:F104"/>
    <mergeCell ref="A106:B106"/>
    <mergeCell ref="E105:F105"/>
    <mergeCell ref="E109:F109"/>
    <mergeCell ref="A110:B110"/>
    <mergeCell ref="A101:C101"/>
    <mergeCell ref="E101:F101"/>
    <mergeCell ref="A102:C102"/>
    <mergeCell ref="A141:H141"/>
    <mergeCell ref="E98:F98"/>
    <mergeCell ref="A99:C99"/>
    <mergeCell ref="E99:F99"/>
    <mergeCell ref="A103:H103"/>
    <mergeCell ref="A104:B104"/>
    <mergeCell ref="A105:B105"/>
    <mergeCell ref="E106:H106"/>
    <mergeCell ref="A107:B107"/>
    <mergeCell ref="E107:H107"/>
    <mergeCell ref="A108:H108"/>
    <mergeCell ref="A109:C109"/>
    <mergeCell ref="G109:H109"/>
    <mergeCell ref="A112:B112"/>
    <mergeCell ref="E112:H112"/>
    <mergeCell ref="A113:B113"/>
    <mergeCell ref="A138:C138"/>
    <mergeCell ref="E138:F138"/>
    <mergeCell ref="E113:H113"/>
    <mergeCell ref="A115:H115"/>
    <mergeCell ref="A116:H116"/>
    <mergeCell ref="A124:H124"/>
    <mergeCell ref="A127:B127"/>
    <mergeCell ref="G127:H127"/>
    <mergeCell ref="A144:B144"/>
    <mergeCell ref="E144:H144"/>
    <mergeCell ref="E145:H145"/>
    <mergeCell ref="A146:H146"/>
    <mergeCell ref="G147:H147"/>
    <mergeCell ref="A77:H77"/>
    <mergeCell ref="B79:D79"/>
    <mergeCell ref="E79:E83"/>
    <mergeCell ref="F79:H83"/>
    <mergeCell ref="B81:D81"/>
    <mergeCell ref="B82:D82"/>
    <mergeCell ref="A86:H86"/>
    <mergeCell ref="A89:B89"/>
    <mergeCell ref="G89:H89"/>
    <mergeCell ref="A91:H91"/>
    <mergeCell ref="A92:B92"/>
    <mergeCell ref="D92:H92"/>
    <mergeCell ref="E93:H93"/>
    <mergeCell ref="A94:B94"/>
    <mergeCell ref="D94:H94"/>
    <mergeCell ref="E96:F96"/>
    <mergeCell ref="A97:C97"/>
    <mergeCell ref="E97:F97"/>
    <mergeCell ref="A98:C98"/>
  </mergeCells>
  <dataValidations count="4">
    <dataValidation type="list" allowBlank="1" showInputMessage="1" showErrorMessage="1" sqref="C130 C92 C54 C16">
      <formula1>Soil</formula1>
    </dataValidation>
    <dataValidation type="list" allowBlank="1" showInputMessage="1" showErrorMessage="1" sqref="D147 C132 D109 C94 D71 C56 D33 C18">
      <formula1>Underdrains</formula1>
    </dataValidation>
    <dataValidation type="list" showInputMessage="1" showErrorMessage="1" promptTitle="Choose Area" sqref="A126 A88 A50 A12">
      <formula1>CatchNo</formula1>
    </dataValidation>
    <dataValidation type="list" allowBlank="1" showInputMessage="1" showErrorMessage="1" sqref="G147:H147 G109:H109 G71:H71 G33:H33">
      <formula1>Reroute3</formula1>
    </dataValidation>
  </dataValidations>
  <pageMargins left="0.7" right="0.7" top="0.75" bottom="0.75" header="0.3" footer="0.3"/>
  <pageSetup orientation="portrait" r:id="rId1"/>
  <headerFooter>
    <oddHeader>&amp;C&amp;18Bioretention Worksheet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51"/>
  <sheetViews>
    <sheetView view="pageLayout" workbookViewId="0">
      <selection activeCell="I20" sqref="I20"/>
    </sheetView>
  </sheetViews>
  <sheetFormatPr defaultRowHeight="15" x14ac:dyDescent="0.25"/>
  <cols>
    <col min="1" max="1" width="19.140625" style="59" customWidth="1"/>
    <col min="2" max="2" width="10.7109375" style="59" customWidth="1"/>
    <col min="3" max="4" width="11" style="59" customWidth="1"/>
    <col min="5" max="5" width="7.85546875" style="59" customWidth="1"/>
    <col min="6" max="6" width="6.7109375" style="59" customWidth="1"/>
    <col min="7" max="7" width="12.5703125" style="59" bestFit="1" customWidth="1"/>
    <col min="8" max="8" width="11" style="59" bestFit="1" customWidth="1"/>
    <col min="9" max="9" width="20.85546875" style="59" bestFit="1" customWidth="1"/>
    <col min="10" max="16384" width="9.140625" style="59"/>
  </cols>
  <sheetData>
    <row r="1" spans="1:10" x14ac:dyDescent="0.25">
      <c r="A1" s="784" t="s">
        <v>163</v>
      </c>
      <c r="B1" s="784"/>
      <c r="C1" s="784"/>
      <c r="D1" s="784"/>
      <c r="E1" s="784"/>
      <c r="F1" s="784"/>
      <c r="G1" s="784"/>
      <c r="H1" s="784"/>
      <c r="I1" s="111" t="s">
        <v>516</v>
      </c>
      <c r="J1" s="15">
        <f>SUM(D22,D57,D102,D147)</f>
        <v>0</v>
      </c>
    </row>
    <row r="2" spans="1:10" x14ac:dyDescent="0.25">
      <c r="A2" s="784" t="s">
        <v>164</v>
      </c>
      <c r="B2" s="784"/>
      <c r="C2" s="784"/>
      <c r="D2" s="784"/>
      <c r="E2" s="784"/>
      <c r="F2" s="784"/>
      <c r="G2" s="784"/>
      <c r="H2" s="784"/>
      <c r="I2" s="125" t="s">
        <v>5</v>
      </c>
      <c r="J2" s="59">
        <f>SUM(B8,B43,B86,B131)</f>
        <v>0</v>
      </c>
    </row>
    <row r="3" spans="1:10" x14ac:dyDescent="0.25">
      <c r="A3" s="784" t="s">
        <v>165</v>
      </c>
      <c r="B3" s="784"/>
      <c r="C3" s="784"/>
      <c r="D3" s="784"/>
      <c r="E3" s="784"/>
      <c r="F3" s="784"/>
      <c r="G3" s="784"/>
      <c r="H3" s="784"/>
      <c r="I3" s="115" t="s">
        <v>521</v>
      </c>
      <c r="J3" s="59">
        <f>SUM(C8,C43,C88,C133)</f>
        <v>0</v>
      </c>
    </row>
    <row r="4" spans="1:10" x14ac:dyDescent="0.25">
      <c r="A4" s="800"/>
      <c r="B4" s="800"/>
      <c r="C4" s="800"/>
      <c r="D4" s="800"/>
      <c r="E4" s="800"/>
      <c r="F4" s="800"/>
      <c r="G4" s="800"/>
      <c r="H4" s="800"/>
    </row>
    <row r="5" spans="1:10" x14ac:dyDescent="0.25">
      <c r="A5" s="801" t="s">
        <v>228</v>
      </c>
      <c r="B5" s="802"/>
      <c r="C5" s="802"/>
      <c r="D5" s="802"/>
      <c r="E5" s="802"/>
      <c r="F5" s="802"/>
      <c r="G5" s="802"/>
      <c r="H5" s="803"/>
    </row>
    <row r="6" spans="1:10" ht="30.75" customHeight="1" x14ac:dyDescent="0.25">
      <c r="A6" s="102" t="s">
        <v>493</v>
      </c>
      <c r="B6" s="19" t="s">
        <v>5</v>
      </c>
      <c r="C6" s="19" t="s">
        <v>6</v>
      </c>
      <c r="D6" s="19" t="s">
        <v>70</v>
      </c>
      <c r="E6" s="19" t="s">
        <v>7</v>
      </c>
      <c r="F6" s="19" t="s">
        <v>1</v>
      </c>
      <c r="G6" s="19" t="s">
        <v>71</v>
      </c>
      <c r="H6" s="25" t="s">
        <v>29</v>
      </c>
    </row>
    <row r="7" spans="1:10" ht="18" customHeight="1" thickBot="1" x14ac:dyDescent="0.3">
      <c r="A7" s="24"/>
      <c r="B7" s="20" t="s">
        <v>76</v>
      </c>
      <c r="C7" s="20" t="s">
        <v>76</v>
      </c>
      <c r="D7" s="20" t="s">
        <v>11</v>
      </c>
      <c r="E7" s="20"/>
      <c r="F7" s="20" t="s">
        <v>205</v>
      </c>
      <c r="G7" s="20" t="s">
        <v>89</v>
      </c>
      <c r="H7" s="26"/>
    </row>
    <row r="8" spans="1:10" ht="15.75" thickBot="1" x14ac:dyDescent="0.3">
      <c r="A8" s="18"/>
      <c r="B8" s="27">
        <f>IFERROR(CHOOSE($A8,'Total WQv Calculation'!B$7,'Total WQv Calculation'!B$8,'Total WQv Calculation'!B$9,'Total WQv Calculation'!B$10,'Total WQv Calculation'!B$11,'Total WQv Calculation'!B$12,'Total WQv Calculation'!B$13,'Total WQv Calculation'!B$14,'Total WQv Calculation'!B$15,'Total WQv Calculation'!B$16),0)</f>
        <v>0</v>
      </c>
      <c r="C8" s="27">
        <f>IFERROR(CHOOSE($A8,'Total WQv Calculation'!C$7,'Total WQv Calculation'!C$8,'Total WQv Calculation'!C$9,'Total WQv Calculation'!C$10,'Total WQv Calculation'!C$11,'Total WQv Calculation'!C$12,'Total WQv Calculation'!C$13,'Total WQv Calculation'!C$14,'Total WQv Calculation'!C$15,'Total WQv Calculation'!C$16),0)</f>
        <v>0</v>
      </c>
      <c r="D8" s="28">
        <f>IFERROR(CHOOSE($A8,'Total WQv Calculation'!D$7,'Total WQv Calculation'!D$8,'Total WQv Calculation'!D$9,'Total WQv Calculation'!D$10,'Total WQv Calculation'!D$11,'Total WQv Calculation'!D$12,'Total WQv Calculation'!D$13,'Total WQv Calculation'!D$14,'Total WQv Calculation'!D$15,'Total WQv Calculation'!D$16),0)</f>
        <v>0</v>
      </c>
      <c r="E8" s="29">
        <f>IFERROR(CHOOSE($A8,'Total WQv Calculation'!E$7,'Total WQv Calculation'!E$8,'Total WQv Calculation'!E$9,'Total WQv Calculation'!E$10,'Total WQv Calculation'!E$11,'Total WQv Calculation'!E$12,'Total WQv Calculation'!E$13,'Total WQv Calculation'!E$14,'Total WQv Calculation'!E$15,'Total WQv Calculation'!E$16),0)</f>
        <v>0</v>
      </c>
      <c r="F8" s="30">
        <f>IFERROR(CHOOSE($A8,'Total WQv Calculation'!F$7,'Total WQv Calculation'!F$8,'Total WQv Calculation'!F$9,'Total WQv Calculation'!F$10,'Total WQv Calculation'!F$11,'Total WQv Calculation'!F$12,'Total WQv Calculation'!F$13,'Total WQv Calculation'!F$14,'Total WQv Calculation'!F$15,'Total WQv Calculation'!F$16),0)</f>
        <v>0</v>
      </c>
      <c r="G8" s="31">
        <f>'Total WQv Calculation'!$B$4</f>
        <v>0</v>
      </c>
      <c r="H8" s="32">
        <f>IFERROR(CHOOSE($A8,'Total WQv Calculation'!G$7,'Total WQv Calculation'!G$8,'Total WQv Calculation'!G$9,'Total WQv Calculation'!G$10,'Total WQv Calculation'!G$11,'Total WQv Calculation'!G$12,'Total WQv Calculation'!G$13,'Total WQv Calculation'!G$14,'Total WQv Calculation'!G$15,'Total WQv Calculation'!G$16),0)</f>
        <v>0</v>
      </c>
    </row>
    <row r="9" spans="1:10" x14ac:dyDescent="0.25">
      <c r="A9" s="84"/>
      <c r="B9" s="84"/>
      <c r="C9" s="84"/>
      <c r="D9" s="84"/>
      <c r="E9" s="84"/>
      <c r="F9" s="84"/>
      <c r="G9" s="84"/>
      <c r="H9" s="84"/>
    </row>
    <row r="10" spans="1:10" x14ac:dyDescent="0.25">
      <c r="A10" s="785" t="s">
        <v>430</v>
      </c>
      <c r="B10" s="785"/>
      <c r="C10" s="785"/>
      <c r="D10" s="785"/>
      <c r="E10" s="785"/>
      <c r="F10" s="785"/>
      <c r="G10" s="785"/>
      <c r="H10" s="785"/>
    </row>
    <row r="11" spans="1:10" ht="18" customHeight="1" x14ac:dyDescent="0.25">
      <c r="A11" s="786" t="s">
        <v>471</v>
      </c>
      <c r="B11" s="787"/>
      <c r="C11" s="85" t="s">
        <v>1</v>
      </c>
      <c r="D11" s="71">
        <f>+F8</f>
        <v>0</v>
      </c>
      <c r="E11" s="86" t="s">
        <v>145</v>
      </c>
      <c r="F11" s="788"/>
      <c r="G11" s="788"/>
      <c r="H11" s="788"/>
    </row>
    <row r="12" spans="1:10" ht="18" customHeight="1" x14ac:dyDescent="0.25">
      <c r="A12" s="786" t="s">
        <v>231</v>
      </c>
      <c r="B12" s="787"/>
      <c r="C12" s="85" t="s">
        <v>156</v>
      </c>
      <c r="D12" s="91"/>
      <c r="E12" s="86" t="s">
        <v>12</v>
      </c>
      <c r="F12" s="789" t="s">
        <v>427</v>
      </c>
      <c r="G12" s="789"/>
      <c r="H12" s="789"/>
      <c r="I12" s="118"/>
    </row>
    <row r="13" spans="1:10" ht="18" customHeight="1" x14ac:dyDescent="0.25">
      <c r="A13" s="790" t="s">
        <v>234</v>
      </c>
      <c r="B13" s="787"/>
      <c r="C13" s="85" t="s">
        <v>157</v>
      </c>
      <c r="D13" s="91"/>
      <c r="E13" s="86" t="s">
        <v>12</v>
      </c>
      <c r="F13" s="791" t="s">
        <v>233</v>
      </c>
      <c r="G13" s="791"/>
      <c r="H13" s="791"/>
    </row>
    <row r="14" spans="1:10" ht="31.5" customHeight="1" x14ac:dyDescent="0.25">
      <c r="A14" s="790" t="s">
        <v>240</v>
      </c>
      <c r="B14" s="787"/>
      <c r="C14" s="85" t="s">
        <v>158</v>
      </c>
      <c r="D14" s="92"/>
      <c r="E14" s="87" t="s">
        <v>12</v>
      </c>
      <c r="F14" s="791" t="s">
        <v>235</v>
      </c>
      <c r="G14" s="791"/>
      <c r="H14" s="791"/>
    </row>
    <row r="15" spans="1:10" ht="18" customHeight="1" x14ac:dyDescent="0.25">
      <c r="A15" s="790" t="s">
        <v>238</v>
      </c>
      <c r="B15" s="790"/>
      <c r="C15" s="85" t="s">
        <v>159</v>
      </c>
      <c r="D15" s="93"/>
      <c r="E15" s="86"/>
      <c r="F15" s="791" t="s">
        <v>236</v>
      </c>
      <c r="G15" s="791"/>
      <c r="H15" s="791"/>
    </row>
    <row r="16" spans="1:10" ht="18" customHeight="1" x14ac:dyDescent="0.25">
      <c r="A16" s="790" t="s">
        <v>239</v>
      </c>
      <c r="B16" s="790"/>
      <c r="C16" s="85" t="s">
        <v>160</v>
      </c>
      <c r="D16" s="93"/>
      <c r="E16" s="86"/>
      <c r="F16" s="791" t="s">
        <v>237</v>
      </c>
      <c r="G16" s="791"/>
      <c r="H16" s="791"/>
    </row>
    <row r="17" spans="1:8" ht="18" customHeight="1" x14ac:dyDescent="0.25">
      <c r="A17" s="786" t="s">
        <v>428</v>
      </c>
      <c r="B17" s="786"/>
      <c r="C17" s="85" t="s">
        <v>230</v>
      </c>
      <c r="D17" s="63">
        <f>IF(D11=0,0,D11/(D12*D15+D13*D16+D14))</f>
        <v>0</v>
      </c>
      <c r="E17" s="86" t="s">
        <v>232</v>
      </c>
      <c r="F17" s="791"/>
      <c r="G17" s="791"/>
      <c r="H17" s="791"/>
    </row>
    <row r="18" spans="1:8" ht="18" customHeight="1" x14ac:dyDescent="0.25">
      <c r="A18" s="790" t="s">
        <v>429</v>
      </c>
      <c r="B18" s="790"/>
      <c r="C18" s="85"/>
      <c r="D18" s="91"/>
      <c r="E18" s="86" t="s">
        <v>232</v>
      </c>
      <c r="F18" s="798" t="str">
        <f>IF(D18&lt;D17,"Error, practice too small"," ")</f>
        <v xml:space="preserve"> </v>
      </c>
      <c r="G18" s="798"/>
      <c r="H18" s="798"/>
    </row>
    <row r="19" spans="1:8" ht="18" customHeight="1" x14ac:dyDescent="0.25">
      <c r="A19" s="790" t="s">
        <v>348</v>
      </c>
      <c r="B19" s="790"/>
      <c r="C19" s="85" t="s">
        <v>357</v>
      </c>
      <c r="D19" s="96"/>
      <c r="E19" s="86"/>
      <c r="F19" s="791" t="str">
        <f>IF(D19="Yes","Use Bioretention Worksheet","Is Infiltration Rate&gt;0.5 in/hr? ")</f>
        <v xml:space="preserve">Is Infiltration Rate&gt;0.5 in/hr? </v>
      </c>
      <c r="G19" s="791"/>
      <c r="H19" s="791"/>
    </row>
    <row r="20" spans="1:8" ht="30" customHeight="1" x14ac:dyDescent="0.25">
      <c r="A20" s="796" t="s">
        <v>118</v>
      </c>
      <c r="B20" s="796"/>
      <c r="C20" s="85"/>
      <c r="D20" s="64">
        <f>+D18*(D12*D15+D13*D16+D14)</f>
        <v>0</v>
      </c>
      <c r="E20" s="87" t="s">
        <v>145</v>
      </c>
      <c r="F20" s="791" t="s">
        <v>431</v>
      </c>
      <c r="G20" s="791"/>
      <c r="H20" s="791"/>
    </row>
    <row r="21" spans="1:8" x14ac:dyDescent="0.25">
      <c r="A21" s="795"/>
      <c r="B21" s="795"/>
      <c r="C21" s="795"/>
      <c r="D21" s="795"/>
      <c r="E21" s="795"/>
      <c r="F21" s="795"/>
      <c r="G21" s="795"/>
      <c r="H21" s="795"/>
    </row>
    <row r="22" spans="1:8" ht="32.25" customHeight="1" x14ac:dyDescent="0.25">
      <c r="A22" s="799" t="s">
        <v>32</v>
      </c>
      <c r="B22" s="799"/>
      <c r="C22" s="799"/>
      <c r="D22" s="66">
        <f>IF(0.8*D20&gt;=F8,F8,0.8*D20)</f>
        <v>0</v>
      </c>
      <c r="E22" s="90" t="s">
        <v>207</v>
      </c>
      <c r="F22" s="797" t="s">
        <v>432</v>
      </c>
      <c r="G22" s="797"/>
      <c r="H22" s="797"/>
    </row>
    <row r="23" spans="1:8" ht="28.5" customHeight="1" x14ac:dyDescent="0.25">
      <c r="A23" s="794" t="s">
        <v>243</v>
      </c>
      <c r="B23" s="794"/>
      <c r="C23" s="794"/>
      <c r="D23" s="23">
        <f>+F8-D22</f>
        <v>0</v>
      </c>
      <c r="E23" s="88" t="s">
        <v>145</v>
      </c>
      <c r="F23" s="791" t="s">
        <v>436</v>
      </c>
      <c r="G23" s="791"/>
      <c r="H23" s="791"/>
    </row>
    <row r="24" spans="1:8" x14ac:dyDescent="0.25">
      <c r="A24" s="794" t="s">
        <v>311</v>
      </c>
      <c r="B24" s="794"/>
      <c r="C24" s="794"/>
      <c r="D24" s="107" t="str">
        <f>IF(D18&gt;=D17,"OK","Error")</f>
        <v>OK</v>
      </c>
      <c r="E24" s="84"/>
      <c r="F24" s="788" t="s">
        <v>435</v>
      </c>
      <c r="G24" s="788"/>
      <c r="H24" s="788"/>
    </row>
    <row r="25" spans="1:8" x14ac:dyDescent="0.25">
      <c r="A25" s="58"/>
      <c r="B25" s="58"/>
      <c r="C25" s="58"/>
      <c r="D25" s="58"/>
      <c r="E25" s="58"/>
      <c r="F25" s="58"/>
      <c r="G25" s="58"/>
      <c r="H25" s="58"/>
    </row>
    <row r="26" spans="1:8" x14ac:dyDescent="0.25">
      <c r="A26" s="58"/>
      <c r="B26" s="58"/>
      <c r="C26" s="58"/>
      <c r="D26" s="58"/>
      <c r="E26" s="58"/>
      <c r="F26" s="58"/>
      <c r="G26" s="58"/>
      <c r="H26" s="58"/>
    </row>
    <row r="27" spans="1:8" x14ac:dyDescent="0.25">
      <c r="A27" s="58"/>
      <c r="B27" s="58"/>
      <c r="C27" s="58"/>
      <c r="D27" s="58"/>
      <c r="E27" s="58"/>
      <c r="F27" s="58"/>
      <c r="G27" s="58"/>
      <c r="H27" s="58"/>
    </row>
    <row r="28" spans="1:8" x14ac:dyDescent="0.25">
      <c r="A28" s="58"/>
      <c r="B28" s="58"/>
      <c r="C28" s="58"/>
      <c r="D28" s="58"/>
      <c r="E28" s="58"/>
      <c r="F28" s="58"/>
      <c r="G28" s="58"/>
      <c r="H28" s="58"/>
    </row>
    <row r="29" spans="1:8" x14ac:dyDescent="0.25">
      <c r="A29" s="58"/>
      <c r="B29" s="58"/>
      <c r="C29" s="58"/>
      <c r="D29" s="58"/>
      <c r="E29" s="58"/>
      <c r="F29" s="58"/>
      <c r="G29" s="58"/>
      <c r="H29" s="58"/>
    </row>
    <row r="30" spans="1:8" x14ac:dyDescent="0.25">
      <c r="A30" s="58"/>
      <c r="B30" s="58"/>
      <c r="C30" s="58"/>
      <c r="D30" s="58"/>
      <c r="E30" s="58"/>
      <c r="F30" s="58"/>
      <c r="G30" s="58"/>
      <c r="H30" s="58"/>
    </row>
    <row r="31" spans="1:8" x14ac:dyDescent="0.25">
      <c r="A31" s="58"/>
      <c r="B31" s="58"/>
      <c r="C31" s="58"/>
      <c r="D31" s="58"/>
      <c r="E31" s="58"/>
      <c r="F31" s="58"/>
      <c r="G31" s="58"/>
      <c r="H31" s="58"/>
    </row>
    <row r="32" spans="1:8" x14ac:dyDescent="0.25">
      <c r="A32" s="58"/>
      <c r="B32" s="58"/>
      <c r="C32" s="58"/>
      <c r="D32" s="58"/>
      <c r="E32" s="58"/>
      <c r="F32" s="58"/>
      <c r="G32" s="58"/>
      <c r="H32" s="58"/>
    </row>
    <row r="33" spans="1:8" x14ac:dyDescent="0.25">
      <c r="A33" s="58"/>
      <c r="B33" s="58"/>
      <c r="C33" s="58"/>
      <c r="D33" s="58"/>
      <c r="E33" s="58"/>
      <c r="F33" s="58"/>
      <c r="G33" s="58"/>
      <c r="H33" s="58"/>
    </row>
    <row r="34" spans="1:8" x14ac:dyDescent="0.25">
      <c r="A34" s="58"/>
      <c r="B34" s="58"/>
      <c r="C34" s="58"/>
      <c r="D34" s="58"/>
      <c r="E34" s="58"/>
      <c r="F34" s="58"/>
      <c r="G34" s="58"/>
      <c r="H34" s="58"/>
    </row>
    <row r="35" spans="1:8" x14ac:dyDescent="0.25">
      <c r="A35" s="58"/>
      <c r="B35" s="58"/>
      <c r="C35" s="58"/>
      <c r="D35" s="58"/>
      <c r="E35" s="58"/>
      <c r="F35" s="58"/>
      <c r="G35" s="58"/>
      <c r="H35" s="58"/>
    </row>
    <row r="36" spans="1:8" ht="15" customHeight="1" x14ac:dyDescent="0.25">
      <c r="A36" s="784" t="s">
        <v>163</v>
      </c>
      <c r="B36" s="784"/>
      <c r="C36" s="784"/>
      <c r="D36" s="784"/>
      <c r="E36" s="784"/>
      <c r="F36" s="784"/>
      <c r="G36" s="784"/>
      <c r="H36" s="784"/>
    </row>
    <row r="37" spans="1:8" ht="15" customHeight="1" x14ac:dyDescent="0.25">
      <c r="A37" s="784" t="s">
        <v>164</v>
      </c>
      <c r="B37" s="784"/>
      <c r="C37" s="784"/>
      <c r="D37" s="784"/>
      <c r="E37" s="784"/>
      <c r="F37" s="784"/>
      <c r="G37" s="784"/>
      <c r="H37" s="784"/>
    </row>
    <row r="38" spans="1:8" ht="15" customHeight="1" x14ac:dyDescent="0.25">
      <c r="A38" s="784" t="s">
        <v>165</v>
      </c>
      <c r="B38" s="784"/>
      <c r="C38" s="784"/>
      <c r="D38" s="784"/>
      <c r="E38" s="784"/>
      <c r="F38" s="784"/>
      <c r="G38" s="784"/>
      <c r="H38" s="784"/>
    </row>
    <row r="39" spans="1:8" x14ac:dyDescent="0.25">
      <c r="A39" s="800"/>
      <c r="B39" s="800"/>
      <c r="C39" s="800"/>
      <c r="D39" s="800"/>
      <c r="E39" s="800"/>
      <c r="F39" s="800"/>
      <c r="G39" s="800"/>
      <c r="H39" s="800"/>
    </row>
    <row r="40" spans="1:8" ht="15" customHeight="1" x14ac:dyDescent="0.25">
      <c r="A40" s="801" t="s">
        <v>228</v>
      </c>
      <c r="B40" s="802"/>
      <c r="C40" s="802"/>
      <c r="D40" s="802"/>
      <c r="E40" s="802"/>
      <c r="F40" s="802"/>
      <c r="G40" s="802"/>
      <c r="H40" s="803"/>
    </row>
    <row r="41" spans="1:8" ht="30" x14ac:dyDescent="0.25">
      <c r="A41" s="102" t="s">
        <v>493</v>
      </c>
      <c r="B41" s="19" t="s">
        <v>5</v>
      </c>
      <c r="C41" s="19" t="s">
        <v>6</v>
      </c>
      <c r="D41" s="19" t="s">
        <v>70</v>
      </c>
      <c r="E41" s="19" t="s">
        <v>7</v>
      </c>
      <c r="F41" s="19" t="s">
        <v>1</v>
      </c>
      <c r="G41" s="19" t="s">
        <v>71</v>
      </c>
      <c r="H41" s="25" t="s">
        <v>29</v>
      </c>
    </row>
    <row r="42" spans="1:8" ht="18" thickBot="1" x14ac:dyDescent="0.3">
      <c r="A42" s="24"/>
      <c r="B42" s="20" t="s">
        <v>76</v>
      </c>
      <c r="C42" s="20" t="s">
        <v>76</v>
      </c>
      <c r="D42" s="20" t="s">
        <v>11</v>
      </c>
      <c r="E42" s="20"/>
      <c r="F42" s="20" t="s">
        <v>205</v>
      </c>
      <c r="G42" s="20" t="s">
        <v>89</v>
      </c>
      <c r="H42" s="26"/>
    </row>
    <row r="43" spans="1:8" ht="15.75" thickBot="1" x14ac:dyDescent="0.3">
      <c r="A43" s="18"/>
      <c r="B43" s="27">
        <f>IFERROR(CHOOSE($A43,'Total WQv Calculation'!B$7,'Total WQv Calculation'!B$8,'Total WQv Calculation'!B$9,'Total WQv Calculation'!B$10,'Total WQv Calculation'!B$11,'Total WQv Calculation'!B$12,'Total WQv Calculation'!B$13,'Total WQv Calculation'!B$14,'Total WQv Calculation'!B$15,'Total WQv Calculation'!B$16),0)</f>
        <v>0</v>
      </c>
      <c r="C43" s="27">
        <f>IFERROR(CHOOSE($A43,'Total WQv Calculation'!C$7,'Total WQv Calculation'!C$8,'Total WQv Calculation'!C$9,'Total WQv Calculation'!C$10,'Total WQv Calculation'!C$11,'Total WQv Calculation'!C$12,'Total WQv Calculation'!C$13,'Total WQv Calculation'!C$14,'Total WQv Calculation'!C$15,'Total WQv Calculation'!C$16),0)</f>
        <v>0</v>
      </c>
      <c r="D43" s="28">
        <f>IFERROR(CHOOSE($A43,'Total WQv Calculation'!D$7,'Total WQv Calculation'!D$8,'Total WQv Calculation'!D$9,'Total WQv Calculation'!D$10,'Total WQv Calculation'!D$11,'Total WQv Calculation'!D$12,'Total WQv Calculation'!D$13,'Total WQv Calculation'!D$14,'Total WQv Calculation'!D$15,'Total WQv Calculation'!D$16),0)</f>
        <v>0</v>
      </c>
      <c r="E43" s="29">
        <f>IFERROR(CHOOSE($A43,'Total WQv Calculation'!E$7,'Total WQv Calculation'!E$8,'Total WQv Calculation'!E$9,'Total WQv Calculation'!E$10,'Total WQv Calculation'!E$11,'Total WQv Calculation'!E$12,'Total WQv Calculation'!E$13,'Total WQv Calculation'!E$14,'Total WQv Calculation'!E$15,'Total WQv Calculation'!E$16),0)</f>
        <v>0</v>
      </c>
      <c r="F43" s="30">
        <f>IFERROR(CHOOSE($A43,'Total WQv Calculation'!F$7,'Total WQv Calculation'!F$8,'Total WQv Calculation'!F$9,'Total WQv Calculation'!F$10,'Total WQv Calculation'!F$11,'Total WQv Calculation'!F$12,'Total WQv Calculation'!F$13,'Total WQv Calculation'!F$14,'Total WQv Calculation'!F$15,'Total WQv Calculation'!F$16),0)</f>
        <v>0</v>
      </c>
      <c r="G43" s="31">
        <f>'Total WQv Calculation'!$B$4</f>
        <v>0</v>
      </c>
      <c r="H43" s="32">
        <f>IFERROR(CHOOSE($A43,'Total WQv Calculation'!G$7,'Total WQv Calculation'!G$8,'Total WQv Calculation'!G$9,'Total WQv Calculation'!G$10,'Total WQv Calculation'!G$11,'Total WQv Calculation'!G$12,'Total WQv Calculation'!G$13,'Total WQv Calculation'!G$14,'Total WQv Calculation'!G$15,'Total WQv Calculation'!G$16),0)</f>
        <v>0</v>
      </c>
    </row>
    <row r="44" spans="1:8" x14ac:dyDescent="0.25">
      <c r="A44" s="116"/>
      <c r="B44" s="116"/>
      <c r="C44" s="116"/>
      <c r="D44" s="116"/>
      <c r="E44" s="116"/>
      <c r="F44" s="116"/>
      <c r="G44" s="116"/>
      <c r="H44" s="116"/>
    </row>
    <row r="45" spans="1:8" x14ac:dyDescent="0.25">
      <c r="A45" s="785" t="s">
        <v>430</v>
      </c>
      <c r="B45" s="785"/>
      <c r="C45" s="785"/>
      <c r="D45" s="785"/>
      <c r="E45" s="785"/>
      <c r="F45" s="785"/>
      <c r="G45" s="785"/>
      <c r="H45" s="785"/>
    </row>
    <row r="46" spans="1:8" x14ac:dyDescent="0.25">
      <c r="A46" s="786" t="s">
        <v>471</v>
      </c>
      <c r="B46" s="787"/>
      <c r="C46" s="117" t="s">
        <v>1</v>
      </c>
      <c r="D46" s="71">
        <f>+F43</f>
        <v>0</v>
      </c>
      <c r="E46" s="119" t="s">
        <v>145</v>
      </c>
      <c r="F46" s="788"/>
      <c r="G46" s="788"/>
      <c r="H46" s="788"/>
    </row>
    <row r="47" spans="1:8" ht="15" customHeight="1" x14ac:dyDescent="0.25">
      <c r="A47" s="786" t="s">
        <v>231</v>
      </c>
      <c r="B47" s="787"/>
      <c r="C47" s="117" t="s">
        <v>156</v>
      </c>
      <c r="D47" s="91"/>
      <c r="E47" s="119" t="s">
        <v>12</v>
      </c>
      <c r="F47" s="789" t="s">
        <v>427</v>
      </c>
      <c r="G47" s="789"/>
      <c r="H47" s="789"/>
    </row>
    <row r="48" spans="1:8" x14ac:dyDescent="0.25">
      <c r="A48" s="790" t="s">
        <v>234</v>
      </c>
      <c r="B48" s="787"/>
      <c r="C48" s="117" t="s">
        <v>157</v>
      </c>
      <c r="D48" s="91"/>
      <c r="E48" s="119" t="s">
        <v>12</v>
      </c>
      <c r="F48" s="791" t="s">
        <v>233</v>
      </c>
      <c r="G48" s="791"/>
      <c r="H48" s="791"/>
    </row>
    <row r="49" spans="1:8" ht="15" customHeight="1" x14ac:dyDescent="0.25">
      <c r="A49" s="790" t="s">
        <v>240</v>
      </c>
      <c r="B49" s="787"/>
      <c r="C49" s="117" t="s">
        <v>158</v>
      </c>
      <c r="D49" s="92"/>
      <c r="E49" s="120" t="s">
        <v>12</v>
      </c>
      <c r="F49" s="791" t="s">
        <v>235</v>
      </c>
      <c r="G49" s="791"/>
      <c r="H49" s="791"/>
    </row>
    <row r="50" spans="1:8" ht="15" customHeight="1" x14ac:dyDescent="0.25">
      <c r="A50" s="790" t="s">
        <v>238</v>
      </c>
      <c r="B50" s="790"/>
      <c r="C50" s="117" t="s">
        <v>159</v>
      </c>
      <c r="D50" s="93"/>
      <c r="E50" s="119"/>
      <c r="F50" s="791" t="s">
        <v>236</v>
      </c>
      <c r="G50" s="791"/>
      <c r="H50" s="791"/>
    </row>
    <row r="51" spans="1:8" ht="15" customHeight="1" x14ac:dyDescent="0.25">
      <c r="A51" s="790" t="s">
        <v>239</v>
      </c>
      <c r="B51" s="790"/>
      <c r="C51" s="117" t="s">
        <v>160</v>
      </c>
      <c r="D51" s="93"/>
      <c r="E51" s="119"/>
      <c r="F51" s="791" t="s">
        <v>237</v>
      </c>
      <c r="G51" s="791"/>
      <c r="H51" s="791"/>
    </row>
    <row r="52" spans="1:8" ht="15" customHeight="1" x14ac:dyDescent="0.25">
      <c r="A52" s="786" t="s">
        <v>428</v>
      </c>
      <c r="B52" s="786"/>
      <c r="C52" s="117" t="s">
        <v>230</v>
      </c>
      <c r="D52" s="63">
        <f>IF(D46=0,0,D46/(D47*D50+D48*D51+D49))</f>
        <v>0</v>
      </c>
      <c r="E52" s="119" t="s">
        <v>232</v>
      </c>
      <c r="F52" s="791"/>
      <c r="G52" s="791"/>
      <c r="H52" s="791"/>
    </row>
    <row r="53" spans="1:8" ht="15" customHeight="1" x14ac:dyDescent="0.25">
      <c r="A53" s="790" t="s">
        <v>429</v>
      </c>
      <c r="B53" s="790"/>
      <c r="C53" s="117"/>
      <c r="D53" s="91"/>
      <c r="E53" s="119" t="s">
        <v>232</v>
      </c>
      <c r="F53" s="798" t="str">
        <f>IF(D53&lt;D52,"Error, practice too small"," ")</f>
        <v xml:space="preserve"> </v>
      </c>
      <c r="G53" s="798"/>
      <c r="H53" s="798"/>
    </row>
    <row r="54" spans="1:8" ht="15" customHeight="1" x14ac:dyDescent="0.25">
      <c r="A54" s="790" t="s">
        <v>348</v>
      </c>
      <c r="B54" s="790"/>
      <c r="C54" s="117" t="s">
        <v>357</v>
      </c>
      <c r="D54" s="96"/>
      <c r="E54" s="119"/>
      <c r="F54" s="791" t="str">
        <f>IF(D54="Yes","Use Bioretention Worksheet","Is Infiltration Rate&gt;0.5 in/hr? ")</f>
        <v xml:space="preserve">Is Infiltration Rate&gt;0.5 in/hr? </v>
      </c>
      <c r="G54" s="791"/>
      <c r="H54" s="791"/>
    </row>
    <row r="55" spans="1:8" ht="15" customHeight="1" x14ac:dyDescent="0.25">
      <c r="A55" s="796" t="s">
        <v>118</v>
      </c>
      <c r="B55" s="796"/>
      <c r="C55" s="117"/>
      <c r="D55" s="64">
        <f>+D53*(D47*D50+D48*D51+D49)</f>
        <v>0</v>
      </c>
      <c r="E55" s="120" t="s">
        <v>145</v>
      </c>
      <c r="F55" s="791" t="s">
        <v>431</v>
      </c>
      <c r="G55" s="791"/>
      <c r="H55" s="791"/>
    </row>
    <row r="56" spans="1:8" ht="15" customHeight="1" x14ac:dyDescent="0.25">
      <c r="A56" s="795"/>
      <c r="B56" s="795"/>
      <c r="C56" s="795"/>
      <c r="D56" s="795"/>
      <c r="E56" s="795"/>
      <c r="F56" s="795"/>
      <c r="G56" s="795"/>
      <c r="H56" s="795"/>
    </row>
    <row r="57" spans="1:8" ht="18.75" customHeight="1" x14ac:dyDescent="0.25">
      <c r="A57" s="799" t="s">
        <v>32</v>
      </c>
      <c r="B57" s="799"/>
      <c r="C57" s="799"/>
      <c r="D57" s="66">
        <f>IF(0.8*D55&gt;=F43,F43,0.8*D55)</f>
        <v>0</v>
      </c>
      <c r="E57" s="123" t="s">
        <v>207</v>
      </c>
      <c r="F57" s="797" t="s">
        <v>432</v>
      </c>
      <c r="G57" s="797"/>
      <c r="H57" s="797"/>
    </row>
    <row r="58" spans="1:8" x14ac:dyDescent="0.25">
      <c r="A58" s="794" t="s">
        <v>243</v>
      </c>
      <c r="B58" s="794"/>
      <c r="C58" s="794"/>
      <c r="D58" s="121">
        <f>+F43-D57</f>
        <v>0</v>
      </c>
      <c r="E58" s="124" t="s">
        <v>145</v>
      </c>
      <c r="F58" s="791" t="s">
        <v>436</v>
      </c>
      <c r="G58" s="791"/>
      <c r="H58" s="791"/>
    </row>
    <row r="59" spans="1:8" ht="35.25" customHeight="1" x14ac:dyDescent="0.25">
      <c r="A59" s="794" t="s">
        <v>311</v>
      </c>
      <c r="B59" s="794"/>
      <c r="C59" s="794"/>
      <c r="D59" s="122" t="str">
        <f>IF(D53&gt;=D52,"OK","Error")</f>
        <v>OK</v>
      </c>
      <c r="E59" s="116"/>
      <c r="F59" s="788" t="s">
        <v>435</v>
      </c>
      <c r="G59" s="788"/>
      <c r="H59" s="788"/>
    </row>
    <row r="60" spans="1:8" ht="32.25" customHeight="1" x14ac:dyDescent="0.25">
      <c r="A60" s="794"/>
      <c r="B60" s="794"/>
      <c r="C60" s="794"/>
      <c r="D60" s="23"/>
      <c r="E60" s="113"/>
      <c r="F60" s="791"/>
      <c r="G60" s="791"/>
      <c r="H60" s="791"/>
    </row>
    <row r="61" spans="1:8" x14ac:dyDescent="0.25">
      <c r="A61" s="794"/>
      <c r="B61" s="794"/>
      <c r="C61" s="794"/>
      <c r="D61" s="112"/>
      <c r="E61" s="109"/>
      <c r="F61" s="788"/>
      <c r="G61" s="788"/>
      <c r="H61" s="788"/>
    </row>
    <row r="79" spans="1:8" x14ac:dyDescent="0.25">
      <c r="A79" s="784" t="s">
        <v>163</v>
      </c>
      <c r="B79" s="784"/>
      <c r="C79" s="784"/>
      <c r="D79" s="784"/>
      <c r="E79" s="784"/>
      <c r="F79" s="784"/>
      <c r="G79" s="784"/>
      <c r="H79" s="784"/>
    </row>
    <row r="80" spans="1:8" x14ac:dyDescent="0.25">
      <c r="A80" s="784" t="s">
        <v>164</v>
      </c>
      <c r="B80" s="784"/>
      <c r="C80" s="784"/>
      <c r="D80" s="784"/>
      <c r="E80" s="784"/>
      <c r="F80" s="784"/>
      <c r="G80" s="784"/>
      <c r="H80" s="784"/>
    </row>
    <row r="81" spans="1:8" x14ac:dyDescent="0.25">
      <c r="A81" s="784" t="s">
        <v>165</v>
      </c>
      <c r="B81" s="784"/>
      <c r="C81" s="784"/>
      <c r="D81" s="784"/>
      <c r="E81" s="784"/>
      <c r="F81" s="784"/>
      <c r="G81" s="784"/>
      <c r="H81" s="784"/>
    </row>
    <row r="82" spans="1:8" x14ac:dyDescent="0.25">
      <c r="A82" s="800"/>
      <c r="B82" s="800"/>
      <c r="C82" s="800"/>
      <c r="D82" s="800"/>
      <c r="E82" s="800"/>
      <c r="F82" s="800"/>
      <c r="G82" s="800"/>
      <c r="H82" s="800"/>
    </row>
    <row r="83" spans="1:8" x14ac:dyDescent="0.25">
      <c r="A83" s="801" t="s">
        <v>228</v>
      </c>
      <c r="B83" s="802"/>
      <c r="C83" s="802"/>
      <c r="D83" s="802"/>
      <c r="E83" s="802"/>
      <c r="F83" s="802"/>
      <c r="G83" s="802"/>
      <c r="H83" s="803"/>
    </row>
    <row r="84" spans="1:8" ht="30" x14ac:dyDescent="0.25">
      <c r="A84" s="102" t="s">
        <v>493</v>
      </c>
      <c r="B84" s="19" t="s">
        <v>5</v>
      </c>
      <c r="C84" s="19" t="s">
        <v>6</v>
      </c>
      <c r="D84" s="19" t="s">
        <v>70</v>
      </c>
      <c r="E84" s="19" t="s">
        <v>7</v>
      </c>
      <c r="F84" s="19" t="s">
        <v>1</v>
      </c>
      <c r="G84" s="19" t="s">
        <v>71</v>
      </c>
      <c r="H84" s="25" t="s">
        <v>29</v>
      </c>
    </row>
    <row r="85" spans="1:8" ht="18" thickBot="1" x14ac:dyDescent="0.3">
      <c r="A85" s="24"/>
      <c r="B85" s="20" t="s">
        <v>76</v>
      </c>
      <c r="C85" s="20" t="s">
        <v>76</v>
      </c>
      <c r="D85" s="20" t="s">
        <v>11</v>
      </c>
      <c r="E85" s="20"/>
      <c r="F85" s="20" t="s">
        <v>205</v>
      </c>
      <c r="G85" s="20" t="s">
        <v>89</v>
      </c>
      <c r="H85" s="26"/>
    </row>
    <row r="86" spans="1:8" ht="15.75" thickBot="1" x14ac:dyDescent="0.3">
      <c r="A86" s="18"/>
      <c r="B86" s="27">
        <f>IFERROR(CHOOSE($A86,'Total WQv Calculation'!B$7,'Total WQv Calculation'!B$8,'Total WQv Calculation'!B$9,'Total WQv Calculation'!B$10,'Total WQv Calculation'!B$11,'Total WQv Calculation'!B$12,'Total WQv Calculation'!B$13,'Total WQv Calculation'!B$14,'Total WQv Calculation'!B$15,'Total WQv Calculation'!B$16),0)</f>
        <v>0</v>
      </c>
      <c r="C86" s="27">
        <f>IFERROR(CHOOSE($A86,'Total WQv Calculation'!C$7,'Total WQv Calculation'!C$8,'Total WQv Calculation'!C$9,'Total WQv Calculation'!C$10,'Total WQv Calculation'!C$11,'Total WQv Calculation'!C$12,'Total WQv Calculation'!C$13,'Total WQv Calculation'!C$14,'Total WQv Calculation'!C$15,'Total WQv Calculation'!C$16),0)</f>
        <v>0</v>
      </c>
      <c r="D86" s="28">
        <f>IFERROR(CHOOSE($A86,'Total WQv Calculation'!D$7,'Total WQv Calculation'!D$8,'Total WQv Calculation'!D$9,'Total WQv Calculation'!D$10,'Total WQv Calculation'!D$11,'Total WQv Calculation'!D$12,'Total WQv Calculation'!D$13,'Total WQv Calculation'!D$14,'Total WQv Calculation'!D$15,'Total WQv Calculation'!D$16),0)</f>
        <v>0</v>
      </c>
      <c r="E86" s="29">
        <f>IFERROR(CHOOSE($A86,'Total WQv Calculation'!E$7,'Total WQv Calculation'!E$8,'Total WQv Calculation'!E$9,'Total WQv Calculation'!E$10,'Total WQv Calculation'!E$11,'Total WQv Calculation'!E$12,'Total WQv Calculation'!E$13,'Total WQv Calculation'!E$14,'Total WQv Calculation'!E$15,'Total WQv Calculation'!E$16),0)</f>
        <v>0</v>
      </c>
      <c r="F86" s="30">
        <f>IFERROR(CHOOSE($A86,'Total WQv Calculation'!F$7,'Total WQv Calculation'!F$8,'Total WQv Calculation'!F$9,'Total WQv Calculation'!F$10,'Total WQv Calculation'!F$11,'Total WQv Calculation'!F$12,'Total WQv Calculation'!F$13,'Total WQv Calculation'!F$14,'Total WQv Calculation'!F$15,'Total WQv Calculation'!F$16),0)</f>
        <v>0</v>
      </c>
      <c r="G86" s="31">
        <f>'Total WQv Calculation'!$B$4</f>
        <v>0</v>
      </c>
      <c r="H86" s="32">
        <f>IFERROR(CHOOSE($A86,'Total WQv Calculation'!G$7,'Total WQv Calculation'!G$8,'Total WQv Calculation'!G$9,'Total WQv Calculation'!G$10,'Total WQv Calculation'!G$11,'Total WQv Calculation'!G$12,'Total WQv Calculation'!G$13,'Total WQv Calculation'!G$14,'Total WQv Calculation'!G$15,'Total WQv Calculation'!G$16),0)</f>
        <v>0</v>
      </c>
    </row>
    <row r="87" spans="1:8" x14ac:dyDescent="0.25">
      <c r="A87" s="116"/>
      <c r="B87" s="116"/>
      <c r="C87" s="116"/>
      <c r="D87" s="116"/>
      <c r="E87" s="116"/>
      <c r="F87" s="116"/>
      <c r="G87" s="116"/>
      <c r="H87" s="116"/>
    </row>
    <row r="88" spans="1:8" x14ac:dyDescent="0.25">
      <c r="A88" s="785" t="s">
        <v>430</v>
      </c>
      <c r="B88" s="785"/>
      <c r="C88" s="785"/>
      <c r="D88" s="785"/>
      <c r="E88" s="785"/>
      <c r="F88" s="785"/>
      <c r="G88" s="785"/>
      <c r="H88" s="785"/>
    </row>
    <row r="89" spans="1:8" x14ac:dyDescent="0.25">
      <c r="A89" s="786" t="s">
        <v>471</v>
      </c>
      <c r="B89" s="787"/>
      <c r="C89" s="117" t="s">
        <v>1</v>
      </c>
      <c r="D89" s="71">
        <f>+F86</f>
        <v>0</v>
      </c>
      <c r="E89" s="119" t="s">
        <v>145</v>
      </c>
      <c r="F89" s="788"/>
      <c r="G89" s="788"/>
      <c r="H89" s="788"/>
    </row>
    <row r="90" spans="1:8" x14ac:dyDescent="0.25">
      <c r="A90" s="786" t="s">
        <v>231</v>
      </c>
      <c r="B90" s="787"/>
      <c r="C90" s="117" t="s">
        <v>156</v>
      </c>
      <c r="D90" s="91"/>
      <c r="E90" s="119" t="s">
        <v>12</v>
      </c>
      <c r="F90" s="789" t="s">
        <v>427</v>
      </c>
      <c r="G90" s="789"/>
      <c r="H90" s="789"/>
    </row>
    <row r="91" spans="1:8" x14ac:dyDescent="0.25">
      <c r="A91" s="790" t="s">
        <v>234</v>
      </c>
      <c r="B91" s="787"/>
      <c r="C91" s="117" t="s">
        <v>157</v>
      </c>
      <c r="D91" s="91"/>
      <c r="E91" s="119" t="s">
        <v>12</v>
      </c>
      <c r="F91" s="791" t="s">
        <v>233</v>
      </c>
      <c r="G91" s="791"/>
      <c r="H91" s="791"/>
    </row>
    <row r="92" spans="1:8" x14ac:dyDescent="0.25">
      <c r="A92" s="790" t="s">
        <v>240</v>
      </c>
      <c r="B92" s="787"/>
      <c r="C92" s="117" t="s">
        <v>158</v>
      </c>
      <c r="D92" s="92"/>
      <c r="E92" s="120" t="s">
        <v>12</v>
      </c>
      <c r="F92" s="791" t="s">
        <v>235</v>
      </c>
      <c r="G92" s="791"/>
      <c r="H92" s="791"/>
    </row>
    <row r="93" spans="1:8" x14ac:dyDescent="0.25">
      <c r="A93" s="790" t="s">
        <v>238</v>
      </c>
      <c r="B93" s="790"/>
      <c r="C93" s="117" t="s">
        <v>159</v>
      </c>
      <c r="D93" s="93"/>
      <c r="E93" s="119"/>
      <c r="F93" s="791" t="s">
        <v>236</v>
      </c>
      <c r="G93" s="791"/>
      <c r="H93" s="791"/>
    </row>
    <row r="94" spans="1:8" x14ac:dyDescent="0.25">
      <c r="A94" s="790" t="s">
        <v>239</v>
      </c>
      <c r="B94" s="790"/>
      <c r="C94" s="117" t="s">
        <v>160</v>
      </c>
      <c r="D94" s="93"/>
      <c r="E94" s="119"/>
      <c r="F94" s="791" t="s">
        <v>237</v>
      </c>
      <c r="G94" s="791"/>
      <c r="H94" s="791"/>
    </row>
    <row r="95" spans="1:8" x14ac:dyDescent="0.25">
      <c r="A95" s="786" t="s">
        <v>428</v>
      </c>
      <c r="B95" s="786"/>
      <c r="C95" s="117" t="s">
        <v>230</v>
      </c>
      <c r="D95" s="63">
        <f>IF(D89=0,0,D89/(D90*D93+D91*D94+D92))</f>
        <v>0</v>
      </c>
      <c r="E95" s="119" t="s">
        <v>232</v>
      </c>
      <c r="F95" s="791"/>
      <c r="G95" s="791"/>
      <c r="H95" s="791"/>
    </row>
    <row r="96" spans="1:8" x14ac:dyDescent="0.25">
      <c r="A96" s="790" t="s">
        <v>429</v>
      </c>
      <c r="B96" s="790"/>
      <c r="C96" s="117"/>
      <c r="D96" s="91"/>
      <c r="E96" s="119" t="s">
        <v>232</v>
      </c>
      <c r="F96" s="798" t="str">
        <f>IF(D96&lt;D95,"Error, practice too small"," ")</f>
        <v xml:space="preserve"> </v>
      </c>
      <c r="G96" s="798"/>
      <c r="H96" s="798"/>
    </row>
    <row r="97" spans="1:8" x14ac:dyDescent="0.25">
      <c r="A97" s="790" t="s">
        <v>348</v>
      </c>
      <c r="B97" s="790"/>
      <c r="C97" s="117" t="s">
        <v>357</v>
      </c>
      <c r="D97" s="96"/>
      <c r="E97" s="119"/>
      <c r="F97" s="791" t="str">
        <f>IF(D97="Yes","Use Bioretention Worksheet","Is Infiltration Rate&gt;0.5 in/hr? ")</f>
        <v xml:space="preserve">Is Infiltration Rate&gt;0.5 in/hr? </v>
      </c>
      <c r="G97" s="791"/>
      <c r="H97" s="791"/>
    </row>
    <row r="98" spans="1:8" ht="18.75" x14ac:dyDescent="0.25">
      <c r="A98" s="796" t="s">
        <v>118</v>
      </c>
      <c r="B98" s="796"/>
      <c r="C98" s="117"/>
      <c r="D98" s="64">
        <f>+D96*(D90*D93+D91*D94+D92)</f>
        <v>0</v>
      </c>
      <c r="E98" s="120" t="s">
        <v>145</v>
      </c>
      <c r="F98" s="791" t="s">
        <v>431</v>
      </c>
      <c r="G98" s="791"/>
      <c r="H98" s="791"/>
    </row>
    <row r="99" spans="1:8" x14ac:dyDescent="0.25">
      <c r="A99" s="795"/>
      <c r="B99" s="795"/>
      <c r="C99" s="795"/>
      <c r="D99" s="795"/>
      <c r="E99" s="795"/>
      <c r="F99" s="795"/>
      <c r="G99" s="795"/>
      <c r="H99" s="795"/>
    </row>
    <row r="100" spans="1:8" ht="17.25" x14ac:dyDescent="0.25">
      <c r="A100" s="799" t="s">
        <v>32</v>
      </c>
      <c r="B100" s="799"/>
      <c r="C100" s="799"/>
      <c r="D100" s="66">
        <f>IF(0.8*D98&gt;=F86,F86,0.8*D98)</f>
        <v>0</v>
      </c>
      <c r="E100" s="123" t="s">
        <v>207</v>
      </c>
      <c r="F100" s="797" t="s">
        <v>432</v>
      </c>
      <c r="G100" s="797"/>
      <c r="H100" s="797"/>
    </row>
    <row r="101" spans="1:8" x14ac:dyDescent="0.25">
      <c r="A101" s="794" t="s">
        <v>243</v>
      </c>
      <c r="B101" s="794"/>
      <c r="C101" s="794"/>
      <c r="D101" s="121">
        <f>+F86-D100</f>
        <v>0</v>
      </c>
      <c r="E101" s="124" t="s">
        <v>145</v>
      </c>
      <c r="F101" s="791" t="s">
        <v>436</v>
      </c>
      <c r="G101" s="791"/>
      <c r="H101" s="791"/>
    </row>
    <row r="102" spans="1:8" x14ac:dyDescent="0.25">
      <c r="A102" s="794" t="s">
        <v>311</v>
      </c>
      <c r="B102" s="794"/>
      <c r="C102" s="794"/>
      <c r="D102" s="122" t="str">
        <f>IF(D96&gt;=D95,"OK","Error")</f>
        <v>OK</v>
      </c>
      <c r="E102" s="116"/>
      <c r="F102" s="788" t="s">
        <v>435</v>
      </c>
      <c r="G102" s="788"/>
      <c r="H102" s="788"/>
    </row>
    <row r="103" spans="1:8" x14ac:dyDescent="0.25">
      <c r="A103" s="795"/>
      <c r="B103" s="795"/>
      <c r="C103" s="795"/>
      <c r="D103" s="795"/>
      <c r="E103" s="795"/>
      <c r="F103" s="795"/>
      <c r="G103" s="795"/>
      <c r="H103" s="795"/>
    </row>
    <row r="104" spans="1:8" x14ac:dyDescent="0.25">
      <c r="A104" s="792"/>
      <c r="B104" s="792"/>
      <c r="C104" s="792"/>
      <c r="D104" s="45"/>
      <c r="E104" s="46"/>
      <c r="F104" s="793"/>
      <c r="G104" s="793"/>
      <c r="H104" s="793"/>
    </row>
    <row r="105" spans="1:8" x14ac:dyDescent="0.25">
      <c r="A105" s="794"/>
      <c r="B105" s="794"/>
      <c r="C105" s="794"/>
      <c r="D105" s="23"/>
      <c r="E105" s="113"/>
      <c r="F105" s="791"/>
      <c r="G105" s="791"/>
      <c r="H105" s="791"/>
    </row>
    <row r="106" spans="1:8" x14ac:dyDescent="0.25">
      <c r="A106" s="794"/>
      <c r="B106" s="794"/>
      <c r="C106" s="794"/>
      <c r="D106" s="112"/>
      <c r="E106" s="109"/>
      <c r="F106" s="788"/>
      <c r="G106" s="788"/>
      <c r="H106" s="788"/>
    </row>
    <row r="124" spans="1:8" x14ac:dyDescent="0.25">
      <c r="A124" s="784" t="s">
        <v>163</v>
      </c>
      <c r="B124" s="784"/>
      <c r="C124" s="784"/>
      <c r="D124" s="784"/>
      <c r="E124" s="784"/>
      <c r="F124" s="784"/>
      <c r="G124" s="784"/>
      <c r="H124" s="784"/>
    </row>
    <row r="125" spans="1:8" x14ac:dyDescent="0.25">
      <c r="A125" s="784" t="s">
        <v>164</v>
      </c>
      <c r="B125" s="784"/>
      <c r="C125" s="784"/>
      <c r="D125" s="784"/>
      <c r="E125" s="784"/>
      <c r="F125" s="784"/>
      <c r="G125" s="784"/>
      <c r="H125" s="784"/>
    </row>
    <row r="126" spans="1:8" x14ac:dyDescent="0.25">
      <c r="A126" s="784" t="s">
        <v>165</v>
      </c>
      <c r="B126" s="784"/>
      <c r="C126" s="784"/>
      <c r="D126" s="784"/>
      <c r="E126" s="784"/>
      <c r="F126" s="784"/>
      <c r="G126" s="784"/>
      <c r="H126" s="784"/>
    </row>
    <row r="127" spans="1:8" x14ac:dyDescent="0.25">
      <c r="A127" s="800"/>
      <c r="B127" s="800"/>
      <c r="C127" s="800"/>
      <c r="D127" s="800"/>
      <c r="E127" s="800"/>
      <c r="F127" s="800"/>
      <c r="G127" s="800"/>
      <c r="H127" s="800"/>
    </row>
    <row r="128" spans="1:8" x14ac:dyDescent="0.25">
      <c r="A128" s="801" t="s">
        <v>228</v>
      </c>
      <c r="B128" s="802"/>
      <c r="C128" s="802"/>
      <c r="D128" s="802"/>
      <c r="E128" s="802"/>
      <c r="F128" s="802"/>
      <c r="G128" s="802"/>
      <c r="H128" s="803"/>
    </row>
    <row r="129" spans="1:8" ht="30" x14ac:dyDescent="0.25">
      <c r="A129" s="102" t="s">
        <v>493</v>
      </c>
      <c r="B129" s="19" t="s">
        <v>5</v>
      </c>
      <c r="C129" s="19" t="s">
        <v>6</v>
      </c>
      <c r="D129" s="19" t="s">
        <v>70</v>
      </c>
      <c r="E129" s="19" t="s">
        <v>7</v>
      </c>
      <c r="F129" s="19" t="s">
        <v>1</v>
      </c>
      <c r="G129" s="19" t="s">
        <v>71</v>
      </c>
      <c r="H129" s="25" t="s">
        <v>29</v>
      </c>
    </row>
    <row r="130" spans="1:8" ht="18" thickBot="1" x14ac:dyDescent="0.3">
      <c r="A130" s="24"/>
      <c r="B130" s="20" t="s">
        <v>76</v>
      </c>
      <c r="C130" s="20" t="s">
        <v>76</v>
      </c>
      <c r="D130" s="20" t="s">
        <v>11</v>
      </c>
      <c r="E130" s="20"/>
      <c r="F130" s="20" t="s">
        <v>205</v>
      </c>
      <c r="G130" s="20" t="s">
        <v>89</v>
      </c>
      <c r="H130" s="26"/>
    </row>
    <row r="131" spans="1:8" ht="15.75" thickBot="1" x14ac:dyDescent="0.3">
      <c r="A131" s="18"/>
      <c r="B131" s="27">
        <f>IFERROR(CHOOSE($A131,'Total WQv Calculation'!B$7,'Total WQv Calculation'!B$8,'Total WQv Calculation'!B$9,'Total WQv Calculation'!B$10,'Total WQv Calculation'!B$11,'Total WQv Calculation'!B$12,'Total WQv Calculation'!B$13,'Total WQv Calculation'!B$14,'Total WQv Calculation'!B$15,'Total WQv Calculation'!B$16),0)</f>
        <v>0</v>
      </c>
      <c r="C131" s="27">
        <f>IFERROR(CHOOSE($A131,'Total WQv Calculation'!C$7,'Total WQv Calculation'!C$8,'Total WQv Calculation'!C$9,'Total WQv Calculation'!C$10,'Total WQv Calculation'!C$11,'Total WQv Calculation'!C$12,'Total WQv Calculation'!C$13,'Total WQv Calculation'!C$14,'Total WQv Calculation'!C$15,'Total WQv Calculation'!C$16),0)</f>
        <v>0</v>
      </c>
      <c r="D131" s="28">
        <f>IFERROR(CHOOSE($A131,'Total WQv Calculation'!D$7,'Total WQv Calculation'!D$8,'Total WQv Calculation'!D$9,'Total WQv Calculation'!D$10,'Total WQv Calculation'!D$11,'Total WQv Calculation'!D$12,'Total WQv Calculation'!D$13,'Total WQv Calculation'!D$14,'Total WQv Calculation'!D$15,'Total WQv Calculation'!D$16),0)</f>
        <v>0</v>
      </c>
      <c r="E131" s="29">
        <f>IFERROR(CHOOSE($A131,'Total WQv Calculation'!E$7,'Total WQv Calculation'!E$8,'Total WQv Calculation'!E$9,'Total WQv Calculation'!E$10,'Total WQv Calculation'!E$11,'Total WQv Calculation'!E$12,'Total WQv Calculation'!E$13,'Total WQv Calculation'!E$14,'Total WQv Calculation'!E$15,'Total WQv Calculation'!E$16),0)</f>
        <v>0</v>
      </c>
      <c r="F131" s="30">
        <f>IFERROR(CHOOSE($A131,'Total WQv Calculation'!F$7,'Total WQv Calculation'!F$8,'Total WQv Calculation'!F$9,'Total WQv Calculation'!F$10,'Total WQv Calculation'!F$11,'Total WQv Calculation'!F$12,'Total WQv Calculation'!F$13,'Total WQv Calculation'!F$14,'Total WQv Calculation'!F$15,'Total WQv Calculation'!F$16),0)</f>
        <v>0</v>
      </c>
      <c r="G131" s="31">
        <f>'Total WQv Calculation'!$B$4</f>
        <v>0</v>
      </c>
      <c r="H131" s="32">
        <f>IFERROR(CHOOSE($A131,'Total WQv Calculation'!G$7,'Total WQv Calculation'!G$8,'Total WQv Calculation'!G$9,'Total WQv Calculation'!G$10,'Total WQv Calculation'!G$11,'Total WQv Calculation'!G$12,'Total WQv Calculation'!G$13,'Total WQv Calculation'!G$14,'Total WQv Calculation'!G$15,'Total WQv Calculation'!G$16),0)</f>
        <v>0</v>
      </c>
    </row>
    <row r="132" spans="1:8" x14ac:dyDescent="0.25">
      <c r="A132" s="116"/>
      <c r="B132" s="116"/>
      <c r="C132" s="116"/>
      <c r="D132" s="116"/>
      <c r="E132" s="116"/>
      <c r="F132" s="116"/>
      <c r="G132" s="116"/>
      <c r="H132" s="116"/>
    </row>
    <row r="133" spans="1:8" x14ac:dyDescent="0.25">
      <c r="A133" s="785" t="s">
        <v>430</v>
      </c>
      <c r="B133" s="785"/>
      <c r="C133" s="785"/>
      <c r="D133" s="785"/>
      <c r="E133" s="785"/>
      <c r="F133" s="785"/>
      <c r="G133" s="785"/>
      <c r="H133" s="785"/>
    </row>
    <row r="134" spans="1:8" x14ac:dyDescent="0.25">
      <c r="A134" s="786" t="s">
        <v>471</v>
      </c>
      <c r="B134" s="787"/>
      <c r="C134" s="117" t="s">
        <v>1</v>
      </c>
      <c r="D134" s="71">
        <f>+F131</f>
        <v>0</v>
      </c>
      <c r="E134" s="119" t="s">
        <v>145</v>
      </c>
      <c r="F134" s="788"/>
      <c r="G134" s="788"/>
      <c r="H134" s="788"/>
    </row>
    <row r="135" spans="1:8" x14ac:dyDescent="0.25">
      <c r="A135" s="786" t="s">
        <v>231</v>
      </c>
      <c r="B135" s="787"/>
      <c r="C135" s="117" t="s">
        <v>156</v>
      </c>
      <c r="D135" s="91"/>
      <c r="E135" s="119" t="s">
        <v>12</v>
      </c>
      <c r="F135" s="789" t="s">
        <v>427</v>
      </c>
      <c r="G135" s="789"/>
      <c r="H135" s="789"/>
    </row>
    <row r="136" spans="1:8" x14ac:dyDescent="0.25">
      <c r="A136" s="790" t="s">
        <v>234</v>
      </c>
      <c r="B136" s="787"/>
      <c r="C136" s="117" t="s">
        <v>157</v>
      </c>
      <c r="D136" s="91"/>
      <c r="E136" s="119" t="s">
        <v>12</v>
      </c>
      <c r="F136" s="791" t="s">
        <v>233</v>
      </c>
      <c r="G136" s="791"/>
      <c r="H136" s="791"/>
    </row>
    <row r="137" spans="1:8" x14ac:dyDescent="0.25">
      <c r="A137" s="790" t="s">
        <v>240</v>
      </c>
      <c r="B137" s="787"/>
      <c r="C137" s="117" t="s">
        <v>158</v>
      </c>
      <c r="D137" s="92"/>
      <c r="E137" s="120" t="s">
        <v>12</v>
      </c>
      <c r="F137" s="791" t="s">
        <v>235</v>
      </c>
      <c r="G137" s="791"/>
      <c r="H137" s="791"/>
    </row>
    <row r="138" spans="1:8" x14ac:dyDescent="0.25">
      <c r="A138" s="790" t="s">
        <v>238</v>
      </c>
      <c r="B138" s="790"/>
      <c r="C138" s="117" t="s">
        <v>159</v>
      </c>
      <c r="D138" s="93"/>
      <c r="E138" s="119"/>
      <c r="F138" s="791" t="s">
        <v>236</v>
      </c>
      <c r="G138" s="791"/>
      <c r="H138" s="791"/>
    </row>
    <row r="139" spans="1:8" x14ac:dyDescent="0.25">
      <c r="A139" s="790" t="s">
        <v>239</v>
      </c>
      <c r="B139" s="790"/>
      <c r="C139" s="117" t="s">
        <v>160</v>
      </c>
      <c r="D139" s="93"/>
      <c r="E139" s="119"/>
      <c r="F139" s="791" t="s">
        <v>237</v>
      </c>
      <c r="G139" s="791"/>
      <c r="H139" s="791"/>
    </row>
    <row r="140" spans="1:8" x14ac:dyDescent="0.25">
      <c r="A140" s="786" t="s">
        <v>428</v>
      </c>
      <c r="B140" s="786"/>
      <c r="C140" s="117" t="s">
        <v>230</v>
      </c>
      <c r="D140" s="63">
        <f>IF(D134=0,0,D134/(D135*D138+D136*D139+D137))</f>
        <v>0</v>
      </c>
      <c r="E140" s="119" t="s">
        <v>232</v>
      </c>
      <c r="F140" s="791"/>
      <c r="G140" s="791"/>
      <c r="H140" s="791"/>
    </row>
    <row r="141" spans="1:8" x14ac:dyDescent="0.25">
      <c r="A141" s="790" t="s">
        <v>429</v>
      </c>
      <c r="B141" s="790"/>
      <c r="C141" s="117"/>
      <c r="D141" s="91"/>
      <c r="E141" s="119" t="s">
        <v>232</v>
      </c>
      <c r="F141" s="798" t="str">
        <f>IF(D141&lt;D140,"Error, practice too small"," ")</f>
        <v xml:space="preserve"> </v>
      </c>
      <c r="G141" s="798"/>
      <c r="H141" s="798"/>
    </row>
    <row r="142" spans="1:8" x14ac:dyDescent="0.25">
      <c r="A142" s="790" t="s">
        <v>348</v>
      </c>
      <c r="B142" s="790"/>
      <c r="C142" s="117" t="s">
        <v>357</v>
      </c>
      <c r="D142" s="96"/>
      <c r="E142" s="119"/>
      <c r="F142" s="791" t="str">
        <f>IF(D142="Yes","Use Bioretention Worksheet","Is Infiltration Rate&gt;0.5 in/hr? ")</f>
        <v xml:space="preserve">Is Infiltration Rate&gt;0.5 in/hr? </v>
      </c>
      <c r="G142" s="791"/>
      <c r="H142" s="791"/>
    </row>
    <row r="143" spans="1:8" ht="18.75" x14ac:dyDescent="0.25">
      <c r="A143" s="796" t="s">
        <v>118</v>
      </c>
      <c r="B143" s="796"/>
      <c r="C143" s="117"/>
      <c r="D143" s="64">
        <f>+D141*(D135*D138+D136*D139+D137)</f>
        <v>0</v>
      </c>
      <c r="E143" s="120" t="s">
        <v>145</v>
      </c>
      <c r="F143" s="791" t="s">
        <v>431</v>
      </c>
      <c r="G143" s="791"/>
      <c r="H143" s="791"/>
    </row>
    <row r="144" spans="1:8" x14ac:dyDescent="0.25">
      <c r="A144" s="795"/>
      <c r="B144" s="795"/>
      <c r="C144" s="795"/>
      <c r="D144" s="795"/>
      <c r="E144" s="795"/>
      <c r="F144" s="795"/>
      <c r="G144" s="795"/>
      <c r="H144" s="795"/>
    </row>
    <row r="145" spans="1:8" ht="17.25" x14ac:dyDescent="0.25">
      <c r="A145" s="799" t="s">
        <v>32</v>
      </c>
      <c r="B145" s="799"/>
      <c r="C145" s="799"/>
      <c r="D145" s="66">
        <f>IF(0.8*D143&gt;=F131,F131,0.8*D143)</f>
        <v>0</v>
      </c>
      <c r="E145" s="123" t="s">
        <v>207</v>
      </c>
      <c r="F145" s="797" t="s">
        <v>432</v>
      </c>
      <c r="G145" s="797"/>
      <c r="H145" s="797"/>
    </row>
    <row r="146" spans="1:8" x14ac:dyDescent="0.25">
      <c r="A146" s="794" t="s">
        <v>243</v>
      </c>
      <c r="B146" s="794"/>
      <c r="C146" s="794"/>
      <c r="D146" s="121">
        <f>+F131-D145</f>
        <v>0</v>
      </c>
      <c r="E146" s="124" t="s">
        <v>145</v>
      </c>
      <c r="F146" s="791" t="s">
        <v>436</v>
      </c>
      <c r="G146" s="791"/>
      <c r="H146" s="791"/>
    </row>
    <row r="147" spans="1:8" x14ac:dyDescent="0.25">
      <c r="A147" s="794" t="s">
        <v>311</v>
      </c>
      <c r="B147" s="794"/>
      <c r="C147" s="794"/>
      <c r="D147" s="122" t="str">
        <f>IF(D141&gt;=D140,"OK","Error")</f>
        <v>OK</v>
      </c>
      <c r="E147" s="116"/>
      <c r="F147" s="788" t="s">
        <v>435</v>
      </c>
      <c r="G147" s="788"/>
      <c r="H147" s="788"/>
    </row>
    <row r="148" spans="1:8" x14ac:dyDescent="0.25">
      <c r="A148" s="795"/>
      <c r="B148" s="795"/>
      <c r="C148" s="795"/>
      <c r="D148" s="795"/>
      <c r="E148" s="795"/>
      <c r="F148" s="795"/>
      <c r="G148" s="795"/>
      <c r="H148" s="795"/>
    </row>
    <row r="149" spans="1:8" x14ac:dyDescent="0.25">
      <c r="A149" s="792"/>
      <c r="B149" s="792"/>
      <c r="C149" s="792"/>
      <c r="D149" s="45"/>
      <c r="E149" s="46"/>
      <c r="F149" s="793"/>
      <c r="G149" s="793"/>
      <c r="H149" s="793"/>
    </row>
    <row r="150" spans="1:8" x14ac:dyDescent="0.25">
      <c r="A150" s="794"/>
      <c r="B150" s="794"/>
      <c r="C150" s="794"/>
      <c r="D150" s="23"/>
      <c r="E150" s="113"/>
      <c r="F150" s="791"/>
      <c r="G150" s="791"/>
      <c r="H150" s="791"/>
    </row>
    <row r="151" spans="1:8" x14ac:dyDescent="0.25">
      <c r="A151" s="794"/>
      <c r="B151" s="794"/>
      <c r="C151" s="794"/>
      <c r="D151" s="112"/>
      <c r="E151" s="109"/>
      <c r="F151" s="788"/>
      <c r="G151" s="788"/>
      <c r="H151" s="788"/>
    </row>
  </sheetData>
  <mergeCells count="150">
    <mergeCell ref="A11:B11"/>
    <mergeCell ref="F11:H11"/>
    <mergeCell ref="A12:B12"/>
    <mergeCell ref="F12:H12"/>
    <mergeCell ref="A13:B13"/>
    <mergeCell ref="F13:H13"/>
    <mergeCell ref="A10:H10"/>
    <mergeCell ref="A1:H1"/>
    <mergeCell ref="A2:H2"/>
    <mergeCell ref="A3:H3"/>
    <mergeCell ref="A4:H4"/>
    <mergeCell ref="A5:H5"/>
    <mergeCell ref="A17:B17"/>
    <mergeCell ref="F17:H17"/>
    <mergeCell ref="A18:B18"/>
    <mergeCell ref="F18:H18"/>
    <mergeCell ref="A19:B19"/>
    <mergeCell ref="F19:H19"/>
    <mergeCell ref="A14:B14"/>
    <mergeCell ref="F14:H14"/>
    <mergeCell ref="A15:B15"/>
    <mergeCell ref="F15:H15"/>
    <mergeCell ref="A16:B16"/>
    <mergeCell ref="F16:H16"/>
    <mergeCell ref="A24:C24"/>
    <mergeCell ref="F24:H24"/>
    <mergeCell ref="A20:B20"/>
    <mergeCell ref="F20:H20"/>
    <mergeCell ref="A21:H21"/>
    <mergeCell ref="A22:C22"/>
    <mergeCell ref="F22:H22"/>
    <mergeCell ref="A23:C23"/>
    <mergeCell ref="F23:H23"/>
    <mergeCell ref="A48:B48"/>
    <mergeCell ref="F48:H48"/>
    <mergeCell ref="A49:B49"/>
    <mergeCell ref="F49:H49"/>
    <mergeCell ref="A36:H36"/>
    <mergeCell ref="A37:H37"/>
    <mergeCell ref="A38:H38"/>
    <mergeCell ref="A39:H39"/>
    <mergeCell ref="A40:H40"/>
    <mergeCell ref="A45:H45"/>
    <mergeCell ref="A46:B46"/>
    <mergeCell ref="F46:H46"/>
    <mergeCell ref="A47:B47"/>
    <mergeCell ref="F47:H47"/>
    <mergeCell ref="A53:B53"/>
    <mergeCell ref="F53:H53"/>
    <mergeCell ref="A54:B54"/>
    <mergeCell ref="F54:H54"/>
    <mergeCell ref="A55:B55"/>
    <mergeCell ref="F55:H55"/>
    <mergeCell ref="A50:B50"/>
    <mergeCell ref="F50:H50"/>
    <mergeCell ref="A51:B51"/>
    <mergeCell ref="F51:H51"/>
    <mergeCell ref="A52:B52"/>
    <mergeCell ref="F52:H52"/>
    <mergeCell ref="A59:C59"/>
    <mergeCell ref="F59:H59"/>
    <mergeCell ref="A60:C60"/>
    <mergeCell ref="F60:H60"/>
    <mergeCell ref="A61:C61"/>
    <mergeCell ref="F61:H61"/>
    <mergeCell ref="F57:H57"/>
    <mergeCell ref="A56:H56"/>
    <mergeCell ref="A57:C57"/>
    <mergeCell ref="A58:C58"/>
    <mergeCell ref="F58:H58"/>
    <mergeCell ref="A93:B93"/>
    <mergeCell ref="F93:H93"/>
    <mergeCell ref="A94:B94"/>
    <mergeCell ref="F94:H94"/>
    <mergeCell ref="A81:H81"/>
    <mergeCell ref="A82:H82"/>
    <mergeCell ref="A83:H83"/>
    <mergeCell ref="A92:B92"/>
    <mergeCell ref="F92:H92"/>
    <mergeCell ref="A98:B98"/>
    <mergeCell ref="F98:H98"/>
    <mergeCell ref="F100:H100"/>
    <mergeCell ref="A95:B95"/>
    <mergeCell ref="F95:H95"/>
    <mergeCell ref="A96:B96"/>
    <mergeCell ref="F96:H96"/>
    <mergeCell ref="A97:B97"/>
    <mergeCell ref="F97:H97"/>
    <mergeCell ref="A99:H99"/>
    <mergeCell ref="A100:C100"/>
    <mergeCell ref="A104:C104"/>
    <mergeCell ref="F104:H104"/>
    <mergeCell ref="A105:C105"/>
    <mergeCell ref="F105:H105"/>
    <mergeCell ref="A106:C106"/>
    <mergeCell ref="F106:H106"/>
    <mergeCell ref="F101:H101"/>
    <mergeCell ref="F102:H102"/>
    <mergeCell ref="A103:H103"/>
    <mergeCell ref="A101:C101"/>
    <mergeCell ref="A102:C102"/>
    <mergeCell ref="A138:B138"/>
    <mergeCell ref="F138:H138"/>
    <mergeCell ref="A139:B139"/>
    <mergeCell ref="F139:H139"/>
    <mergeCell ref="A126:H126"/>
    <mergeCell ref="A127:H127"/>
    <mergeCell ref="A128:H128"/>
    <mergeCell ref="A137:B137"/>
    <mergeCell ref="F137:H137"/>
    <mergeCell ref="A143:B143"/>
    <mergeCell ref="F143:H143"/>
    <mergeCell ref="F145:H145"/>
    <mergeCell ref="A140:B140"/>
    <mergeCell ref="F140:H140"/>
    <mergeCell ref="A141:B141"/>
    <mergeCell ref="F141:H141"/>
    <mergeCell ref="A142:B142"/>
    <mergeCell ref="F142:H142"/>
    <mergeCell ref="A144:H144"/>
    <mergeCell ref="A145:C145"/>
    <mergeCell ref="A149:C149"/>
    <mergeCell ref="F149:H149"/>
    <mergeCell ref="A150:C150"/>
    <mergeCell ref="F150:H150"/>
    <mergeCell ref="A151:C151"/>
    <mergeCell ref="F151:H151"/>
    <mergeCell ref="F146:H146"/>
    <mergeCell ref="F147:H147"/>
    <mergeCell ref="A148:H148"/>
    <mergeCell ref="A146:C146"/>
    <mergeCell ref="A147:C147"/>
    <mergeCell ref="A79:H79"/>
    <mergeCell ref="A80:H80"/>
    <mergeCell ref="A88:H88"/>
    <mergeCell ref="A89:B89"/>
    <mergeCell ref="F89:H89"/>
    <mergeCell ref="A90:B90"/>
    <mergeCell ref="F90:H90"/>
    <mergeCell ref="A91:B91"/>
    <mergeCell ref="F91:H91"/>
    <mergeCell ref="A124:H124"/>
    <mergeCell ref="A125:H125"/>
    <mergeCell ref="A133:H133"/>
    <mergeCell ref="A134:B134"/>
    <mergeCell ref="F134:H134"/>
    <mergeCell ref="A135:B135"/>
    <mergeCell ref="F135:H135"/>
    <mergeCell ref="A136:B136"/>
    <mergeCell ref="F136:H136"/>
  </mergeCells>
  <dataValidations disablePrompts="1" count="1">
    <dataValidation type="list" showInputMessage="1" showErrorMessage="1" promptTitle="Choose Area" sqref="A86 A43 A8 A131">
      <formula1>AreaNumber</formula1>
    </dataValidation>
  </dataValidations>
  <pageMargins left="0.7" right="0.7" top="0.75" bottom="0.75" header="0.3" footer="0.3"/>
  <pageSetup orientation="portrait" r:id="rId1"/>
  <headerFooter>
    <oddHeader>&amp;C&amp;18Infiltrating Bioretention Worksheet</oddHead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22</vt:i4>
      </vt:variant>
    </vt:vector>
  </HeadingPairs>
  <TitlesOfParts>
    <vt:vector size="51" baseType="lpstr">
      <vt:lpstr>Total WQv Calculation</vt:lpstr>
      <vt:lpstr>WQv Calculation - Subtotal</vt:lpstr>
      <vt:lpstr>Catchment Summary Table</vt:lpstr>
      <vt:lpstr>Summary Table</vt:lpstr>
      <vt:lpstr>minimum RRv</vt:lpstr>
      <vt:lpstr>NOI QUESTIONS</vt:lpstr>
      <vt:lpstr>Planning</vt:lpstr>
      <vt:lpstr>Bioretention</vt:lpstr>
      <vt:lpstr>Infiltration Bioretention (2)</vt:lpstr>
      <vt:lpstr>Cistern-Rainbarrel</vt:lpstr>
      <vt:lpstr>Conservation of Natural Areas</vt:lpstr>
      <vt:lpstr>Disconnection of Rooftops</vt:lpstr>
      <vt:lpstr>Dry Swale</vt:lpstr>
      <vt:lpstr>Dry Well</vt:lpstr>
      <vt:lpstr>Filter Strips</vt:lpstr>
      <vt:lpstr>Green Roof (Ext)</vt:lpstr>
      <vt:lpstr>Green Roof (Intensive)</vt:lpstr>
      <vt:lpstr>#Infiltration Basin</vt:lpstr>
      <vt:lpstr>Infiltration Bioretention</vt:lpstr>
      <vt:lpstr>Infiltration Trench</vt:lpstr>
      <vt:lpstr>Porous Pavement</vt:lpstr>
      <vt:lpstr>Rain Garden</vt:lpstr>
      <vt:lpstr>Riparian Buffer</vt:lpstr>
      <vt:lpstr>Stormwater Planter</vt:lpstr>
      <vt:lpstr>Tree Planting-Tree Pits</vt:lpstr>
      <vt:lpstr>Vegetated Swale</vt:lpstr>
      <vt:lpstr>LOGIC</vt:lpstr>
      <vt:lpstr>Sheet1</vt:lpstr>
      <vt:lpstr>Errata</vt:lpstr>
      <vt:lpstr>'Catchment Summary Table'!AreaNumber</vt:lpstr>
      <vt:lpstr>'WQv Calculation - Subtotal'!AreaNumber</vt:lpstr>
      <vt:lpstr>AreaNumber</vt:lpstr>
      <vt:lpstr>CatchNo</vt:lpstr>
      <vt:lpstr>Considered</vt:lpstr>
      <vt:lpstr>LOGIC!Cpv</vt:lpstr>
      <vt:lpstr>InfiltrationBasin</vt:lpstr>
      <vt:lpstr>Practice</vt:lpstr>
      <vt:lpstr>Practices</vt:lpstr>
      <vt:lpstr>PracticesA</vt:lpstr>
      <vt:lpstr>PracticesB</vt:lpstr>
      <vt:lpstr>Reroute</vt:lpstr>
      <vt:lpstr>Reroute2</vt:lpstr>
      <vt:lpstr>Reroute3</vt:lpstr>
      <vt:lpstr>RGPERC</vt:lpstr>
      <vt:lpstr>Soil</vt:lpstr>
      <vt:lpstr>Soils2</vt:lpstr>
      <vt:lpstr>SoilType</vt:lpstr>
      <vt:lpstr>Tree</vt:lpstr>
      <vt:lpstr>Underdrain</vt:lpstr>
      <vt:lpstr>Underdrains</vt:lpstr>
      <vt:lpstr>YesNo</vt:lpstr>
    </vt:vector>
  </TitlesOfParts>
  <Company>NYSDEC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calambla</dc:creator>
  <cp:lastModifiedBy>Brian Kise</cp:lastModifiedBy>
  <cp:lastPrinted>2013-06-10T20:31:44Z</cp:lastPrinted>
  <dcterms:created xsi:type="dcterms:W3CDTF">2011-01-29T17:18:04Z</dcterms:created>
  <dcterms:modified xsi:type="dcterms:W3CDTF">2014-02-03T14:30:16Z</dcterms:modified>
</cp:coreProperties>
</file>